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tabRatio="803" activeTab="0"/>
  </bookViews>
  <sheets>
    <sheet name="Ægte opsparing" sheetId="1" r:id="rId1"/>
    <sheet name="Klima" sheetId="2" r:id="rId2"/>
    <sheet name="Anden luft" sheetId="3" r:id="rId3"/>
    <sheet name="Grundvand" sheetId="4" r:id="rId4"/>
    <sheet name="Olie mv" sheetId="5" r:id="rId5"/>
    <sheet name="Fisk" sheetId="6" r:id="rId6"/>
    <sheet name="Skov" sheetId="7" r:id="rId7"/>
    <sheet name="Fysisk" sheetId="8" r:id="rId8"/>
    <sheet name="Finansiel" sheetId="9" r:id="rId9"/>
    <sheet name="Human" sheetId="10" r:id="rId10"/>
    <sheet name="Viden" sheetId="11" r:id="rId11"/>
    <sheet name="Sundhed" sheetId="12" r:id="rId12"/>
    <sheet name="BNP" sheetId="13" r:id="rId13"/>
  </sheets>
  <definedNames/>
  <calcPr fullCalcOnLoad="1"/>
</workbook>
</file>

<file path=xl/comments11.xml><?xml version="1.0" encoding="utf-8"?>
<comments xmlns="http://schemas.openxmlformats.org/spreadsheetml/2006/main">
  <authors>
    <author>Steffen Lind</author>
  </authors>
  <commentList>
    <comment ref="S7" authorId="0">
      <text>
        <r>
          <rPr>
            <sz val="8"/>
            <rFont val="Tahoma"/>
            <family val="0"/>
          </rPr>
          <t>Beregnet som gennemsnittet af værdierne i 1993 og 1995</t>
        </r>
      </text>
    </comment>
    <comment ref="F9" authorId="0">
      <text>
        <r>
          <rPr>
            <sz val="8"/>
            <rFont val="Tahoma"/>
            <family val="0"/>
          </rPr>
          <t>Initialværdi = udgifter til forskning og udvikling i 1981 / (gns. årlig vækstrate 1981-88 + afskrivningsrate).
Gns. årlig vækstrate 1981-88 = 7,6 pct.
Afskrivningsrage = 15 pct.</t>
        </r>
      </text>
    </comment>
    <comment ref="F19" authorId="0">
      <text>
        <r>
          <rPr>
            <sz val="8"/>
            <rFont val="Tahoma"/>
            <family val="0"/>
          </rPr>
          <t>Initialværdi = udgifter til forskning og udvikling i 1981 / (gns. årlig vækstrate 1981-88 + afskrivningsrate).
Gns. årlig vækstrate 1981-88 = 5,2 pct.
Afskrivningsrage = 15 pct.</t>
        </r>
      </text>
    </comment>
  </commentList>
</comments>
</file>

<file path=xl/sharedStrings.xml><?xml version="1.0" encoding="utf-8"?>
<sst xmlns="http://schemas.openxmlformats.org/spreadsheetml/2006/main" count="638" uniqueCount="297">
  <si>
    <t>Hjælpeberegninger</t>
  </si>
  <si>
    <t>Enhed</t>
  </si>
  <si>
    <t>Kommentar</t>
  </si>
  <si>
    <t>Kilde</t>
  </si>
  <si>
    <t>Statistikbanken, tabel NAT07N</t>
  </si>
  <si>
    <t>Erhverv 06090, råstofudvinding</t>
  </si>
  <si>
    <t>Aflønning af ansatte</t>
  </si>
  <si>
    <t>mio. kr., løbende priser</t>
  </si>
  <si>
    <t>kr., løbende priser</t>
  </si>
  <si>
    <t>ADAM, variabel: lne</t>
  </si>
  <si>
    <t>Timeløn i ADAM's erhverv e (råstofudvinding)</t>
  </si>
  <si>
    <t>Timelønsindeks</t>
  </si>
  <si>
    <t>Bruttoværditilvækst</t>
  </si>
  <si>
    <t>Areal</t>
  </si>
  <si>
    <t>Ændring i areal</t>
  </si>
  <si>
    <t>SKAT</t>
  </si>
  <si>
    <t>Kr. pr. ha</t>
  </si>
  <si>
    <t>Ha</t>
  </si>
  <si>
    <t>Komerciel værdi</t>
  </si>
  <si>
    <t>Rekreativ værdi</t>
  </si>
  <si>
    <t>Dubgaard(1998)</t>
  </si>
  <si>
    <t>Opsparing</t>
  </si>
  <si>
    <t>BNP i fastepriser</t>
  </si>
  <si>
    <t>Mio. kr.</t>
  </si>
  <si>
    <t>Mia. kr.</t>
  </si>
  <si>
    <t>Mia. kr. (2005-priser)</t>
  </si>
  <si>
    <t xml:space="preserve">1990-2008: Johannsen, V. K., T. Nord-Larsen, T. Riis-Nielsen, A. Bastrup-Birk, L. Vesterdal og I. S. Møller (2010): Revised: Acquiring and updating Danish forest date for use in UNFCCC. Forest &amp; Landscape Working Papers 54/2010. 2009: Nord-Larsen, T., A. </t>
  </si>
  <si>
    <t>GEUS</t>
  </si>
  <si>
    <t>Pct.</t>
  </si>
  <si>
    <t>Andelen af analyserede drikkevandsboringer, hvor der er fundet pesticider over grænseværdien i aktive vandværker og boringer fra tidligere aktive vandværker, hvor der er kendskab til, at der er foretaget boringskontrol for pesticider.</t>
  </si>
  <si>
    <t>Ændring i forurening</t>
  </si>
  <si>
    <t>Pct.-point</t>
  </si>
  <si>
    <t>Værdi af en "ren og naturlig" ressource</t>
  </si>
  <si>
    <t>Hasler mfl. (2005)</t>
  </si>
  <si>
    <t>Tallet er beregnet som den tilbagediskonterede værdi af den årlige betalingsvilje for alle danske husstande i 2004. Tallet er fremskevet til 2005 med BNP-deflatoren.</t>
  </si>
  <si>
    <t>BNP -deflator</t>
  </si>
  <si>
    <t>Indeks, 2005=1</t>
  </si>
  <si>
    <t>Udgifter til forskning og udvikling</t>
  </si>
  <si>
    <t>Eurostat</t>
  </si>
  <si>
    <t>Deflateret med BNP-deflatoren</t>
  </si>
  <si>
    <t>Danmarks Statistik, ADAM's databank</t>
  </si>
  <si>
    <t>Initialværdien i 1981 er beregnet under en antagelse om, at der har været en konstant forudgående vækstrate, jf. kommentaren til tallet. Videnskapitalen afskrives med 15 pct. Om året.</t>
  </si>
  <si>
    <t>Danskproduceret videnskapital</t>
  </si>
  <si>
    <t>Indenlandsk opsparing</t>
  </si>
  <si>
    <t>Spillover fra udlandet</t>
  </si>
  <si>
    <t>Opgørelsen dækker følgende lande: Australien, Østrig, Belgien, Canada, Finland, Frankrig, Grækenland, Holland, Irland, Island, Israel, Italien, Japan, Kina, Mexico, New Zealand, Norge, Romænien, Rusland, Polen, Porutgal, Schweitz, Singapore, Slovakiet, Slovenien, Storbritannien, Spanien, Sverige, Sydafrika, Sydkorea, Taiwan, Tjekkiet, Tyrkiet, Tyskland, Ungarn, USA</t>
  </si>
  <si>
    <t>OECD</t>
  </si>
  <si>
    <t>For nogle lande er der ikke data for hele perioden. Der er foretaget skøn for hvert enkelt land for at lukke huller i dataserierne</t>
  </si>
  <si>
    <t>BNP-deflator, USA</t>
  </si>
  <si>
    <t>PPP-kurs</t>
  </si>
  <si>
    <t>DKK/US$</t>
  </si>
  <si>
    <t>Mia. kr. (2005-priser, PPP)</t>
  </si>
  <si>
    <t>Mia. US$ (2000-priser, PPP)</t>
  </si>
  <si>
    <t>Mia. US$ (2005-priser, PPP)</t>
  </si>
  <si>
    <t>Udenlandsk opsparing</t>
  </si>
  <si>
    <t>Spillover</t>
  </si>
  <si>
    <t>Spillover til Danmark</t>
  </si>
  <si>
    <t>Videnskapital, ultimo</t>
  </si>
  <si>
    <t>Forurenet grundvand</t>
  </si>
  <si>
    <t>Gennemsnitlig ejendomsværdi for "sæskilt vurderet skov og plantage"</t>
  </si>
  <si>
    <t>Tallet er beregnet som den tilbagediskonterede værdi af den årlige betalingsvilje pr. ha i 1993. Resultatet er fremskevet til 2005 med BNP-deflatoren.</t>
  </si>
  <si>
    <t>50 pct. af investeringen skønnes at spille over til andre lande</t>
  </si>
  <si>
    <t>Knap 0,5 pct. af spilloveret skønnes at komme Danmark til gavn, idet Dansk BNP udgør knap 0,5 pct.af BNP i de vedrørende lande.</t>
  </si>
  <si>
    <t>Udenlandske udgifter til forskning og udvikling</t>
  </si>
  <si>
    <t>USA</t>
  </si>
  <si>
    <t>Østrig</t>
  </si>
  <si>
    <t>Belgien</t>
  </si>
  <si>
    <t>Canada</t>
  </si>
  <si>
    <t>Tjekkiet</t>
  </si>
  <si>
    <t>Finland</t>
  </si>
  <si>
    <t>Frankrig</t>
  </si>
  <si>
    <t>Tyskland</t>
  </si>
  <si>
    <t>Grækenland</t>
  </si>
  <si>
    <t>Ungarn</t>
  </si>
  <si>
    <t>Island</t>
  </si>
  <si>
    <t>Irland</t>
  </si>
  <si>
    <t>Israel</t>
  </si>
  <si>
    <t>Italien</t>
  </si>
  <si>
    <t>Japan</t>
  </si>
  <si>
    <t>Sydkorea</t>
  </si>
  <si>
    <t>Mexico</t>
  </si>
  <si>
    <t>Holland</t>
  </si>
  <si>
    <t>New Zealand</t>
  </si>
  <si>
    <t>Norge</t>
  </si>
  <si>
    <t>Polen</t>
  </si>
  <si>
    <t>Portugal</t>
  </si>
  <si>
    <t>Slovakiet</t>
  </si>
  <si>
    <t>Slovenien</t>
  </si>
  <si>
    <t>Spanien</t>
  </si>
  <si>
    <t>Sverige</t>
  </si>
  <si>
    <t>Schweitz</t>
  </si>
  <si>
    <t>Tyrkiet</t>
  </si>
  <si>
    <t>Storbritannien</t>
  </si>
  <si>
    <t>Kina</t>
  </si>
  <si>
    <t>Romænien</t>
  </si>
  <si>
    <t>Rusland</t>
  </si>
  <si>
    <t>Singapore</t>
  </si>
  <si>
    <t>Sydafrika</t>
  </si>
  <si>
    <t>Taiwan</t>
  </si>
  <si>
    <t>Australien</t>
  </si>
  <si>
    <t>For nogle lande er der ikke data for hele perioden. Der er foretaget skøn for at lukke huller i dataserierne. Skønnene er markeret med blåt</t>
  </si>
  <si>
    <t>Statistikbanken (tabel NATHOB0)</t>
  </si>
  <si>
    <t>Primobeholdning</t>
  </si>
  <si>
    <t>Mio. kr.(2005-priser)</t>
  </si>
  <si>
    <t>Årets ændring i nettokapitalapparat</t>
  </si>
  <si>
    <t>Pct. af BNP</t>
  </si>
  <si>
    <t>Faste aktiver, nettobeholdning</t>
  </si>
  <si>
    <t>Nettofordringserhvervelsen over for udlandet</t>
  </si>
  <si>
    <t>ADAM, variabel: tfn_e</t>
  </si>
  <si>
    <t>Mio. kr., løbende priser</t>
  </si>
  <si>
    <t>Mio. kr., 2005-priser</t>
  </si>
  <si>
    <t>Egen omregning til faste priser vhja. BNP-deflatoren</t>
  </si>
  <si>
    <t>Sundhedskapital udiskonteret</t>
  </si>
  <si>
    <t>Sundhedskapital diskonteret</t>
  </si>
  <si>
    <t>Værdi af sundhedskapital</t>
  </si>
  <si>
    <t>Ændring i værdi</t>
  </si>
  <si>
    <t>Danmarks Statistiks og DREAMs samordnede befolkningsfremskrivning af maj 2010 samt egne beregninger</t>
  </si>
  <si>
    <t>År</t>
  </si>
  <si>
    <t>År, tilbagediskonterede</t>
  </si>
  <si>
    <t>Beregnet som ovenfor, men fremtidige leveår er tilbagediskonteret med en diskonteringsrate på 3 pct.</t>
  </si>
  <si>
    <t>Værdi af et leveår</t>
  </si>
  <si>
    <t>Kroner</t>
  </si>
  <si>
    <t>Gennemsnit af 568.000 og 655.000 kr. i 2002-priser, fremskrevet med BNP-deflator til 2005</t>
  </si>
  <si>
    <t>Mia kr (2005-priser)</t>
  </si>
  <si>
    <t>Tallet er beregnet som summen af den forventede restlevetid (årgangsmetoden) i år for hver person i befolkningen</t>
  </si>
  <si>
    <t xml:space="preserve"> </t>
  </si>
  <si>
    <t>Tabel 6.9, s. 88 i Willumsen, E., N. B. Kristensen, S. S. Jensen, R. Berkowicz og S. Brandt (2005): Valuation of External Costs of Air Pollution. The Danish Environmental Research Programme 2000-2003. Rapport. COWI, og egne beregninger</t>
  </si>
  <si>
    <t>Andre produktionsskatter, netto</t>
  </si>
  <si>
    <t>Bruttooverskud af produktion og blandet indkomst</t>
  </si>
  <si>
    <t>Omregnes til faste priser ved at antage at den udgør samme andel af bruttoværditilvæksten som i løbende priser</t>
  </si>
  <si>
    <t>Forbrug af fast realkapital</t>
  </si>
  <si>
    <t>Statistikbanken, NAT09N, råstofindvinding</t>
  </si>
  <si>
    <t>Normalforrentning</t>
  </si>
  <si>
    <t>Der anvendes en forrentning på 8 pct.</t>
  </si>
  <si>
    <t>Kapitalapparat nettobeholdning</t>
  </si>
  <si>
    <t>Resurserente</t>
  </si>
  <si>
    <t>Lig med minus den årlige resurserente</t>
  </si>
  <si>
    <t>Beregning af resurserente</t>
  </si>
  <si>
    <t>Egen omregning fra løbende til faste priser ud fra ADAM-løntal, jf. nedenfor</t>
  </si>
  <si>
    <t>Globale CO2-emissioner</t>
  </si>
  <si>
    <t>Globale metan-emissioner</t>
  </si>
  <si>
    <t>Globale lattergas-emissioner</t>
  </si>
  <si>
    <t>Globale emissioner af andre drivhusgasser</t>
  </si>
  <si>
    <t>kilotons</t>
  </si>
  <si>
    <t>kilotons CO2-ækvivalenter</t>
  </si>
  <si>
    <t>1990, 1995, 2000, 2005: Verdensbanken, indikatorkode: EN.ATM.METH.KT.CE. 2010: Vækst ifølge prognose fra Environmental Protection Agency, www.epa.gov</t>
  </si>
  <si>
    <t>1990-2008: Verdensbanken, indikatorkode: EN.ATM.CO2E.KT. 2009-10: Prognose fra Carbon Dioxide Information Analysis Center, http://cdiac.ornl.gov/</t>
  </si>
  <si>
    <t>1990, 1995, 2000, 2005: Verdensbanken, indikatorkode: EN.ATM.NOXE.KT.CE. 2010: Vækst ifølge prognose fra Environmental Protection Agency, www.epa.gov</t>
  </si>
  <si>
    <t>1990, 1995, 2000, 2005: Verdensbanken, indikatorkode: EN.ATM.GHGO.KT.CE. 2010: Vækst ifølge prognose fra Environmental Protection Agency, www.epa.gov</t>
  </si>
  <si>
    <t>Der er foretaget interpolation for årstal hvor der ikke foreligger data (markeret med blåt)</t>
  </si>
  <si>
    <t>Samlede globale udledninger</t>
  </si>
  <si>
    <t xml:space="preserve">Værdi af samlede globale skader </t>
  </si>
  <si>
    <t>Omkostning pr ton CO2-ækvivalent</t>
  </si>
  <si>
    <t>USD (2005-priser)</t>
  </si>
  <si>
    <t>Datasæt fra Richard Tol</t>
  </si>
  <si>
    <t>Prisen er et gennemsnit af 37 forskellige beregninger, omregnet til ton CO2 og fremskrevet fra 1995 til 2005</t>
  </si>
  <si>
    <t>Mia. USD (2005-priser)</t>
  </si>
  <si>
    <t>Danmarks andel af globale skader</t>
  </si>
  <si>
    <t>Danmarks andel af verdens BNP</t>
  </si>
  <si>
    <t>Verdensbanken</t>
  </si>
  <si>
    <t>Beregnet ud fra USD 2005-priser uden købekraftskorrektion</t>
  </si>
  <si>
    <t>Tabel 4.10 i Nordhaus, W. D. og J. Boyer (2002): Warming the World: Economic Models of Global Warming. MIT Press, Cambridge, USA.</t>
  </si>
  <si>
    <t>Valutakurs</t>
  </si>
  <si>
    <t>Kroner pr USD</t>
  </si>
  <si>
    <t>Vægtning af danske skader i forhold til globale</t>
  </si>
  <si>
    <t>Forholdet mellem skader i OECD-Europa (eksklusive landbrugsrelaterede skader) og i hele verden (som andele af BNP) er anvendt.</t>
  </si>
  <si>
    <t>Uden købekraftskorrektion (for konsistens med beregning af BNP-andel)</t>
  </si>
  <si>
    <t>Blå tal indikerer interpolationer.</t>
  </si>
  <si>
    <t>Svovldioxid (SO2)</t>
  </si>
  <si>
    <t>Depositioner i Danmark</t>
  </si>
  <si>
    <t>For 1990 til 1996 (blå tal) er depositionerne beregnet ud fra oprindelseslandenes udledninger og en antagelse om at den andel af deres udledninger der falder ned i Danmark, er den samme som i 1997.</t>
  </si>
  <si>
    <t>ton SO2</t>
  </si>
  <si>
    <t>Der er brugt et vejet gennemsnit af priserne for udledning fra forskellige sektorer.</t>
  </si>
  <si>
    <t>Kr. (2005-priser)</t>
  </si>
  <si>
    <t>Samlede skadesomkostninger</t>
  </si>
  <si>
    <t>Kvælstofoxider (NOx)</t>
  </si>
  <si>
    <t>Ammoniak (NH3)</t>
  </si>
  <si>
    <t>ton NH3</t>
  </si>
  <si>
    <t>Sum af negative værdi af skadesomkostninger for SO2, NOx og NH3.</t>
  </si>
  <si>
    <t>Enkelte luftforureningsproblemer:</t>
  </si>
  <si>
    <t xml:space="preserve">EMEP, blamematricer, www.emep.int </t>
  </si>
  <si>
    <t>CEEH Scientific Report No 3, tabel 14, side 40 samt egne beregninger (omregning til molekulærværdi og 2005-kroner)</t>
  </si>
  <si>
    <t>Sundhedsskader ved et kg SO2</t>
  </si>
  <si>
    <t>Sundhedsskader ved  et kg NOx</t>
  </si>
  <si>
    <t>Sundhedsskader ved  et kg NH3</t>
  </si>
  <si>
    <t>Udgifter til undervisning</t>
  </si>
  <si>
    <t>Danmarks Statistik, Statistikbanken, OFF23</t>
  </si>
  <si>
    <t>Mio, kr,</t>
  </si>
  <si>
    <t>Mio. kr. (2005-priser)</t>
  </si>
  <si>
    <t>Fuldførte uddannelser ved almene gymnasier</t>
  </si>
  <si>
    <t>Danmarks Statistik, 50-årsoversigten</t>
  </si>
  <si>
    <t>Antal fuldførte uddannelser</t>
  </si>
  <si>
    <t>Der eksisterer kun data for hvert tiende år. Der er antaget en lineær sammenhæng i de mellemliggende år. Skøn er markeret med blåt.</t>
  </si>
  <si>
    <t>Udgifterne til undervisning er tilbageført med udviklingen af fuldførte uddannelser ved de almene gymnasier. Før 1945 er det antaget, at udgifterne voksede med gennemsnitlige procentvise årlige vækstrate fra perioden 1945 til 1955.</t>
  </si>
  <si>
    <t>Humankapital, ultimo</t>
  </si>
  <si>
    <t>I beregningen er humankapitalinvesteringerne afskrevet lineært over 67 år.</t>
  </si>
  <si>
    <t>Opsparing tilknyttet udgifter</t>
  </si>
  <si>
    <t>Udgifter</t>
  </si>
  <si>
    <t>Tabt arbejdsfortjeneste</t>
  </si>
  <si>
    <t>Danmarks Statistik, Statistikbanken, U12 og U1207</t>
  </si>
  <si>
    <t>Personer</t>
  </si>
  <si>
    <t>Personer under uddannelse, over 16 år</t>
  </si>
  <si>
    <t>Årsløn</t>
  </si>
  <si>
    <t>Danmarks Statistik, Statistikbanken, LON01X og ATR1</t>
  </si>
  <si>
    <t xml:space="preserve">Årsløn til personer med grundskoleuddannelse (Alle excl. unge og elever). Beregnet som et vejet gennemsnit med udgangspunkt i fortjeneste pr. præsteret time og månedslønn for fastlønnede. </t>
  </si>
  <si>
    <t>Kr.</t>
  </si>
  <si>
    <t>Personer under uddannelse er tilbageført med udviklingen i udgifter til undervisning</t>
  </si>
  <si>
    <t>Værdi af tabt arbejdsfortjeneste</t>
  </si>
  <si>
    <t>Opsparing tilknyttet tabt arbejdsfortjeneste</t>
  </si>
  <si>
    <t>Realløn</t>
  </si>
  <si>
    <t>SMEC's databank</t>
  </si>
  <si>
    <t>Kr. (2000-priser)</t>
  </si>
  <si>
    <t>Den nominelle årsløn i industrien deflateret med BNP-deflatoren</t>
  </si>
  <si>
    <t>Årslønnen beregnet på Danmarks Statistiks tal i 2005 er frem- og tilbageskrevet med udviklingen i reallønnen fra SMEC's databank. Før 1968 er det antaget, at reallønsstigningerne var 2 pct. om året.</t>
  </si>
  <si>
    <t>Kvoter</t>
  </si>
  <si>
    <t>Torsk</t>
  </si>
  <si>
    <t>ICES</t>
  </si>
  <si>
    <t>Ton</t>
  </si>
  <si>
    <t>Priser</t>
  </si>
  <si>
    <t>Fiskeridirektoratet</t>
  </si>
  <si>
    <t>Kr. pr. kg.</t>
  </si>
  <si>
    <t>Omsætning</t>
  </si>
  <si>
    <t>Formue</t>
  </si>
  <si>
    <t>Sild</t>
  </si>
  <si>
    <t>I alt</t>
  </si>
  <si>
    <t>Rødspætte</t>
  </si>
  <si>
    <t>Makrel</t>
  </si>
  <si>
    <t>Sperling</t>
  </si>
  <si>
    <t>Tobis</t>
  </si>
  <si>
    <t>Mørksej</t>
  </si>
  <si>
    <t>Brisling</t>
  </si>
  <si>
    <t>Jomfruhummer</t>
  </si>
  <si>
    <t>Grønlandsrejer</t>
  </si>
  <si>
    <t>Nettoudbytte</t>
  </si>
  <si>
    <t>Danmarks Statistik, Regnskabsstatistik for Fiskeri</t>
  </si>
  <si>
    <t>1.000 kr. pr. virksomhed</t>
  </si>
  <si>
    <t>Afskrivninger, fartøj, skrog m.m.</t>
  </si>
  <si>
    <t>Afskrivninger, maskiner og spil</t>
  </si>
  <si>
    <t>Afskrivninger, elektronisk udstyr</t>
  </si>
  <si>
    <t>Afskrivninger, fangstredskaber</t>
  </si>
  <si>
    <t>Nettoudbytte ekskl. afskrivninger</t>
  </si>
  <si>
    <t>Formuen er beregnet med følgende formel: Formue = Overnormal profit i pct. af om sætningen * Omsætning / (diskonteringsrente - produktivitetsvækstrate). Den overnormale profit skønnes at udgøre 2,5 pct. af omsætningen. Diskonteringsrenten og produktivitetsvækstraten er forudsat til henholdsvis 3 pct. og 1,5 pct.</t>
  </si>
  <si>
    <t>Forsikringssum</t>
  </si>
  <si>
    <t>Fødevareøkonomisk Institut</t>
  </si>
  <si>
    <t>1.000 kr. pr. fartøj</t>
  </si>
  <si>
    <t>Alternativt mål for værdien af fiskeriaktiver</t>
  </si>
  <si>
    <t>Aktiver i alt ultimo</t>
  </si>
  <si>
    <t>IOK rettigheder</t>
  </si>
  <si>
    <t>FKA rettigheder</t>
  </si>
  <si>
    <t>Andre fiskerirettigheder</t>
  </si>
  <si>
    <t>Andre driftsaktiver</t>
  </si>
  <si>
    <t>Værdipapirer</t>
  </si>
  <si>
    <t>Andre finansielle aktiver</t>
  </si>
  <si>
    <t>Afskrivninger, andre driftsaktiver</t>
  </si>
  <si>
    <t>Fysiske aktiver ultimo</t>
  </si>
  <si>
    <t>Pct. af fysiske aktiver primo</t>
  </si>
  <si>
    <t>Pct. af forsikringssum</t>
  </si>
  <si>
    <t>Gennemsnitlig rentabillitet for kommercielt aktive fartøjer</t>
  </si>
  <si>
    <t>Fødevareøkonomisk Institut, fiskeriets økonomi, udgaverne 2000 til 2011.</t>
  </si>
  <si>
    <t>Tallene for 1997 og 1998 er skønnet på baggrund af tal fra Fiskeriets Økonomi 2000.</t>
  </si>
  <si>
    <t>Overnormal profit 3</t>
  </si>
  <si>
    <t>Overnormal profit 2</t>
  </si>
  <si>
    <t>Overnormal profit 1</t>
  </si>
  <si>
    <t>Beregningsforudsætninger: Normalafkast = 7 pct. og afskrivningsrate = 4 pct.</t>
  </si>
  <si>
    <t>Beregning: Gennemsnitlig rentabillitet for kommercielt aktive fartøjer - normalafkast - afskrivningsrate. Normalafkast = 7 pct. og afskrivningsrate = 4 pct.</t>
  </si>
  <si>
    <t>Bruttoudbytte</t>
  </si>
  <si>
    <t>Bruttoudbytte er et udtryk for omsætning</t>
  </si>
  <si>
    <t>Pct. Af bruttoudbytte/omsætning</t>
  </si>
  <si>
    <t>Overnormal profit</t>
  </si>
  <si>
    <t>Den overnormale profit skønnes at udgøre 2 pct. af de fysiske aktiver. Skønnet på 2 pct. Er baseret på beregnngerne overnormal profit 1, overnormal profit 2 og overnormal profit 3.</t>
  </si>
  <si>
    <t>Beregninger, der ligger til grund for skønnet for den overnormale profit i pct. af omsætningen</t>
  </si>
  <si>
    <t>Den overnormale profit har i gennemsnit udgjort 2,5 pct. Af omsætningen i perioden 1997 til 2009</t>
  </si>
  <si>
    <t>Anden luftforurening</t>
  </si>
  <si>
    <t>Grundvand</t>
  </si>
  <si>
    <t>Ikke-fornybare naturressourcer</t>
  </si>
  <si>
    <t>Fisk</t>
  </si>
  <si>
    <t>Skov</t>
  </si>
  <si>
    <t>Fysisk kapital</t>
  </si>
  <si>
    <t>Finansiel kapital</t>
  </si>
  <si>
    <t>Humankapital</t>
  </si>
  <si>
    <t>Videnskapital</t>
  </si>
  <si>
    <t>Sundhedskapital</t>
  </si>
  <si>
    <t>I alt*</t>
  </si>
  <si>
    <t>* ekskl. grundvand og sundhedskapital</t>
  </si>
  <si>
    <t>Økonomi og Miljø 2012</t>
  </si>
  <si>
    <t>Kapitel III: Ægte opsparing</t>
  </si>
  <si>
    <t>Beregninger</t>
  </si>
  <si>
    <t>Retur til forsiden</t>
  </si>
  <si>
    <t>Klimaproblemet</t>
  </si>
  <si>
    <t>Ikke-fornybare Naturressourcer</t>
  </si>
  <si>
    <t>mio. kr. (2005-priser)</t>
  </si>
  <si>
    <t>mio. kr. (løbende priser)</t>
  </si>
  <si>
    <t>Fysisk Kapital</t>
  </si>
  <si>
    <t>Finansiel Kapital</t>
  </si>
  <si>
    <t>BNP</t>
  </si>
  <si>
    <t>Prisen i 2005 er beregnet som et gennemsnit af prisen i 2004 og 2006.</t>
  </si>
  <si>
    <t>For nogle arter er der ikke data for alle relevante farvande i hele perioden. Der er foretaget skøn for at lukke huller i dataserierne. Data, der er baseret på skøn, er markeret med blåt.</t>
  </si>
</sst>
</file>

<file path=xl/styles.xml><?xml version="1.0" encoding="utf-8"?>
<styleSheet xmlns="http://schemas.openxmlformats.org/spreadsheetml/2006/main">
  <numFmts count="2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0.0"/>
    <numFmt numFmtId="166" formatCode="#,##0.000"/>
    <numFmt numFmtId="167" formatCode="0.00000"/>
    <numFmt numFmtId="168" formatCode="0.0000"/>
    <numFmt numFmtId="169" formatCode="0.000"/>
    <numFmt numFmtId="170" formatCode="_(* #,##0_);_(* \(#,##0\);_(* &quot;-&quot;??_);_(@_)"/>
    <numFmt numFmtId="171" formatCode="&quot;Ja&quot;;&quot;Ja&quot;;&quot;Nej&quot;"/>
    <numFmt numFmtId="172" formatCode="&quot;Sand&quot;;&quot;Sand&quot;;&quot;Falsk&quot;"/>
    <numFmt numFmtId="173" formatCode="&quot;Til&quot;;&quot;Til&quot;;&quot;Fra&quot;"/>
    <numFmt numFmtId="174" formatCode="[$€-2]\ #.##000_);[Red]\([$€-2]\ #.##000\)"/>
    <numFmt numFmtId="175" formatCode="0.000000"/>
    <numFmt numFmtId="176" formatCode="_(* #,##0.0_);_(* \(#,##0.0\);_(* &quot;-&quot;??_);_(@_)"/>
  </numFmts>
  <fonts count="17">
    <font>
      <sz val="10"/>
      <name val="Arial"/>
      <family val="0"/>
    </font>
    <font>
      <sz val="8"/>
      <name val="Arial"/>
      <family val="0"/>
    </font>
    <font>
      <sz val="8"/>
      <name val="Tahoma"/>
      <family val="0"/>
    </font>
    <font>
      <u val="single"/>
      <sz val="10"/>
      <color indexed="12"/>
      <name val="Arial"/>
      <family val="0"/>
    </font>
    <font>
      <u val="single"/>
      <sz val="10"/>
      <color indexed="36"/>
      <name val="Arial"/>
      <family val="0"/>
    </font>
    <font>
      <b/>
      <sz val="20"/>
      <name val="Times New Roman"/>
      <family val="1"/>
    </font>
    <font>
      <sz val="10"/>
      <name val="Times New Roman"/>
      <family val="1"/>
    </font>
    <font>
      <i/>
      <sz val="12"/>
      <name val="Times New Roman"/>
      <family val="1"/>
    </font>
    <font>
      <b/>
      <sz val="10"/>
      <name val="Times New Roman"/>
      <family val="1"/>
    </font>
    <font>
      <sz val="10"/>
      <color indexed="12"/>
      <name val="Times New Roman"/>
      <family val="1"/>
    </font>
    <font>
      <sz val="10"/>
      <color indexed="48"/>
      <name val="Times New Roman"/>
      <family val="1"/>
    </font>
    <font>
      <sz val="8"/>
      <name val="Times New Roman"/>
      <family val="1"/>
    </font>
    <font>
      <b/>
      <sz val="12"/>
      <name val="Times New Roman"/>
      <family val="1"/>
    </font>
    <font>
      <b/>
      <u val="single"/>
      <sz val="10"/>
      <name val="Times New Roman"/>
      <family val="1"/>
    </font>
    <font>
      <sz val="10"/>
      <name val="Times Roman"/>
      <family val="1"/>
    </font>
    <font>
      <sz val="10"/>
      <color indexed="48"/>
      <name val="Times Roman"/>
      <family val="1"/>
    </font>
    <font>
      <b/>
      <sz val="8"/>
      <name val="Arial"/>
      <family val="2"/>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42">
    <xf numFmtId="0" fontId="0" fillId="0" borderId="0" xfId="0"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6" fillId="3" borderId="1" xfId="0" applyFont="1" applyFill="1" applyBorder="1" applyAlignment="1">
      <alignment/>
    </xf>
    <xf numFmtId="0" fontId="8" fillId="3" borderId="1" xfId="0" applyFont="1" applyFill="1" applyBorder="1" applyAlignment="1">
      <alignment/>
    </xf>
    <xf numFmtId="0" fontId="9" fillId="3" borderId="0" xfId="19" applyFont="1" applyFill="1" applyAlignment="1">
      <alignment/>
    </xf>
    <xf numFmtId="164" fontId="6" fillId="3" borderId="0" xfId="0" applyNumberFormat="1" applyFont="1" applyFill="1" applyAlignment="1">
      <alignment/>
    </xf>
    <xf numFmtId="0" fontId="6" fillId="3" borderId="0" xfId="0" applyFont="1" applyFill="1" applyAlignment="1">
      <alignment/>
    </xf>
    <xf numFmtId="164" fontId="6" fillId="3" borderId="1" xfId="0" applyNumberFormat="1" applyFont="1" applyFill="1" applyBorder="1" applyAlignment="1">
      <alignment/>
    </xf>
    <xf numFmtId="0" fontId="11" fillId="3" borderId="0" xfId="0" applyFont="1" applyFill="1" applyAlignment="1" quotePrefix="1">
      <alignment/>
    </xf>
    <xf numFmtId="0" fontId="6" fillId="3" borderId="0" xfId="19" applyFont="1" applyFill="1" applyAlignment="1">
      <alignment/>
    </xf>
    <xf numFmtId="0" fontId="9" fillId="3" borderId="0" xfId="0" applyFont="1" applyFill="1" applyAlignment="1">
      <alignment/>
    </xf>
    <xf numFmtId="3" fontId="6" fillId="3" borderId="0" xfId="0" applyNumberFormat="1" applyFont="1" applyFill="1" applyAlignment="1">
      <alignment/>
    </xf>
    <xf numFmtId="0" fontId="12" fillId="2" borderId="0" xfId="0" applyFont="1" applyFill="1" applyAlignment="1">
      <alignment vertical="center"/>
    </xf>
    <xf numFmtId="0" fontId="13" fillId="2" borderId="0" xfId="19" applyFont="1" applyFill="1" applyAlignment="1">
      <alignment horizontal="left" vertical="center"/>
    </xf>
    <xf numFmtId="0" fontId="8" fillId="2" borderId="0" xfId="0" applyFont="1" applyFill="1" applyAlignment="1">
      <alignment vertical="center"/>
    </xf>
    <xf numFmtId="169" fontId="6" fillId="3" borderId="0" xfId="0" applyNumberFormat="1" applyFont="1" applyFill="1" applyAlignment="1">
      <alignment/>
    </xf>
    <xf numFmtId="2" fontId="6" fillId="3" borderId="0" xfId="0" applyNumberFormat="1" applyFont="1" applyFill="1" applyAlignment="1">
      <alignment/>
    </xf>
    <xf numFmtId="0" fontId="6" fillId="3" borderId="0" xfId="0" applyFont="1" applyFill="1" applyAlignment="1" applyProtection="1">
      <alignment horizontal="left"/>
      <protection locked="0"/>
    </xf>
    <xf numFmtId="0" fontId="14" fillId="3" borderId="0" xfId="0" applyFont="1" applyFill="1" applyAlignment="1">
      <alignment/>
    </xf>
    <xf numFmtId="166" fontId="14" fillId="3" borderId="0" xfId="0" applyNumberFormat="1" applyFont="1" applyFill="1" applyAlignment="1">
      <alignment/>
    </xf>
    <xf numFmtId="164" fontId="14" fillId="3" borderId="0" xfId="0" applyNumberFormat="1" applyFont="1" applyFill="1" applyAlignment="1">
      <alignment/>
    </xf>
    <xf numFmtId="3" fontId="14" fillId="3" borderId="0" xfId="0" applyNumberFormat="1" applyFont="1" applyFill="1" applyAlignment="1">
      <alignment/>
    </xf>
    <xf numFmtId="3" fontId="15" fillId="3" borderId="0" xfId="0" applyNumberFormat="1" applyFont="1" applyFill="1" applyAlignment="1">
      <alignment/>
    </xf>
    <xf numFmtId="2" fontId="14" fillId="3" borderId="0" xfId="0" applyNumberFormat="1" applyFont="1" applyFill="1" applyAlignment="1">
      <alignment/>
    </xf>
    <xf numFmtId="1" fontId="14" fillId="3" borderId="0" xfId="0" applyNumberFormat="1" applyFont="1" applyFill="1" applyAlignment="1">
      <alignment/>
    </xf>
    <xf numFmtId="3" fontId="14" fillId="3" borderId="0" xfId="0" applyNumberFormat="1" applyFont="1" applyFill="1" applyAlignment="1">
      <alignment horizontal="right"/>
    </xf>
    <xf numFmtId="166" fontId="6" fillId="3" borderId="0" xfId="0" applyNumberFormat="1" applyFont="1" applyFill="1" applyAlignment="1">
      <alignment/>
    </xf>
    <xf numFmtId="165" fontId="6" fillId="3" borderId="0" xfId="0" applyNumberFormat="1" applyFont="1" applyFill="1" applyAlignment="1">
      <alignment/>
    </xf>
    <xf numFmtId="3" fontId="10" fillId="3" borderId="0" xfId="0" applyNumberFormat="1" applyFont="1" applyFill="1" applyAlignment="1">
      <alignment/>
    </xf>
    <xf numFmtId="1" fontId="6" fillId="3" borderId="0" xfId="0" applyNumberFormat="1" applyFont="1" applyFill="1" applyAlignment="1">
      <alignment/>
    </xf>
    <xf numFmtId="164" fontId="10" fillId="3" borderId="0" xfId="0" applyNumberFormat="1" applyFont="1" applyFill="1" applyAlignment="1">
      <alignment/>
    </xf>
    <xf numFmtId="169" fontId="14" fillId="3" borderId="0" xfId="0" applyNumberFormat="1" applyFont="1" applyFill="1" applyAlignment="1">
      <alignment/>
    </xf>
    <xf numFmtId="3" fontId="6" fillId="3" borderId="0" xfId="0" applyNumberFormat="1" applyFont="1" applyFill="1" applyAlignment="1" applyProtection="1">
      <alignment horizontal="right"/>
      <protection locked="0"/>
    </xf>
    <xf numFmtId="3" fontId="9" fillId="3" borderId="0" xfId="0" applyNumberFormat="1" applyFont="1" applyFill="1" applyAlignment="1">
      <alignment/>
    </xf>
    <xf numFmtId="0" fontId="6" fillId="3" borderId="0" xfId="0" applyFont="1" applyFill="1" applyBorder="1" applyAlignment="1">
      <alignment/>
    </xf>
    <xf numFmtId="2" fontId="6" fillId="3" borderId="0" xfId="0" applyNumberFormat="1" applyFont="1" applyFill="1" applyBorder="1" applyAlignment="1">
      <alignment horizontal="right"/>
    </xf>
    <xf numFmtId="164" fontId="6" fillId="3" borderId="0" xfId="0" applyNumberFormat="1" applyFont="1" applyFill="1" applyBorder="1" applyAlignment="1">
      <alignment/>
    </xf>
    <xf numFmtId="168" fontId="6" fillId="3" borderId="0" xfId="0" applyNumberFormat="1" applyFont="1" applyFill="1" applyAlignment="1">
      <alignment/>
    </xf>
    <xf numFmtId="4" fontId="6" fillId="3" borderId="0" xfId="0" applyNumberFormat="1" applyFont="1" applyFill="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1"/>
  <sheetViews>
    <sheetView tabSelected="1" workbookViewId="0" topLeftCell="A1">
      <selection activeCell="A1" sqref="A1"/>
    </sheetView>
  </sheetViews>
  <sheetFormatPr defaultColWidth="9.140625" defaultRowHeight="12.75"/>
  <cols>
    <col min="1" max="1" width="28.00390625" style="9" bestFit="1" customWidth="1"/>
    <col min="2" max="16384" width="9.140625" style="9" customWidth="1"/>
  </cols>
  <sheetData>
    <row r="1" s="2" customFormat="1" ht="37.5" customHeight="1">
      <c r="A1" s="1" t="s">
        <v>284</v>
      </c>
    </row>
    <row r="2" s="2" customFormat="1" ht="30" customHeight="1">
      <c r="A2" s="1" t="s">
        <v>285</v>
      </c>
    </row>
    <row r="3" s="2" customFormat="1" ht="12.75"/>
    <row r="4" spans="1:2" s="2" customFormat="1" ht="15.75">
      <c r="A4" s="3" t="s">
        <v>286</v>
      </c>
      <c r="B4" s="4"/>
    </row>
    <row r="6" spans="1:22" s="5" customFormat="1" ht="12.75">
      <c r="A6" s="5" t="s">
        <v>105</v>
      </c>
      <c r="B6" s="6">
        <v>1990</v>
      </c>
      <c r="C6" s="6">
        <f aca="true" t="shared" si="0" ref="C6:V6">B6+1</f>
        <v>1991</v>
      </c>
      <c r="D6" s="6">
        <f t="shared" si="0"/>
        <v>1992</v>
      </c>
      <c r="E6" s="6">
        <f t="shared" si="0"/>
        <v>1993</v>
      </c>
      <c r="F6" s="6">
        <f t="shared" si="0"/>
        <v>1994</v>
      </c>
      <c r="G6" s="6">
        <f t="shared" si="0"/>
        <v>1995</v>
      </c>
      <c r="H6" s="6">
        <f t="shared" si="0"/>
        <v>1996</v>
      </c>
      <c r="I6" s="6">
        <f t="shared" si="0"/>
        <v>1997</v>
      </c>
      <c r="J6" s="6">
        <f t="shared" si="0"/>
        <v>1998</v>
      </c>
      <c r="K6" s="6">
        <f t="shared" si="0"/>
        <v>1999</v>
      </c>
      <c r="L6" s="6">
        <f t="shared" si="0"/>
        <v>2000</v>
      </c>
      <c r="M6" s="6">
        <f t="shared" si="0"/>
        <v>2001</v>
      </c>
      <c r="N6" s="6">
        <f t="shared" si="0"/>
        <v>2002</v>
      </c>
      <c r="O6" s="6">
        <f t="shared" si="0"/>
        <v>2003</v>
      </c>
      <c r="P6" s="6">
        <f t="shared" si="0"/>
        <v>2004</v>
      </c>
      <c r="Q6" s="6">
        <f t="shared" si="0"/>
        <v>2005</v>
      </c>
      <c r="R6" s="6">
        <f t="shared" si="0"/>
        <v>2006</v>
      </c>
      <c r="S6" s="6">
        <f t="shared" si="0"/>
        <v>2007</v>
      </c>
      <c r="T6" s="6">
        <f t="shared" si="0"/>
        <v>2008</v>
      </c>
      <c r="U6" s="6">
        <f t="shared" si="0"/>
        <v>2009</v>
      </c>
      <c r="V6" s="6">
        <f t="shared" si="0"/>
        <v>2010</v>
      </c>
    </row>
    <row r="7" spans="1:23" ht="12.75">
      <c r="A7" s="12" t="s">
        <v>288</v>
      </c>
      <c r="B7" s="8">
        <f>Klima!F4*-1</f>
        <v>-6.390737749042777</v>
      </c>
      <c r="C7" s="8">
        <f>Klima!G4*-1</f>
        <v>-6.368998022533521</v>
      </c>
      <c r="D7" s="8">
        <f>Klima!H4*-1</f>
        <v>-6.200469519235593</v>
      </c>
      <c r="E7" s="8">
        <f>Klima!I4*-1</f>
        <v>-6.1988455675645495</v>
      </c>
      <c r="F7" s="8">
        <f>Klima!J4*-1</f>
        <v>-5.946155651841397</v>
      </c>
      <c r="G7" s="8">
        <f>Klima!K4*-1</f>
        <v>-5.856041457980497</v>
      </c>
      <c r="H7" s="8">
        <f>Klima!L4*-1</f>
        <v>-5.7745767150352965</v>
      </c>
      <c r="I7" s="8">
        <f>Klima!M4*-1</f>
        <v>-5.663648487960627</v>
      </c>
      <c r="J7" s="8">
        <f>Klima!N4*-1</f>
        <v>-5.528329916965472</v>
      </c>
      <c r="K7" s="8">
        <f>Klima!O4*-1</f>
        <v>-5.35826734503148</v>
      </c>
      <c r="L7" s="8">
        <f>Klima!P4*-1</f>
        <v>-5.268143811676386</v>
      </c>
      <c r="M7" s="8">
        <f>Klima!Q4*-1</f>
        <v>-5.356074549527825</v>
      </c>
      <c r="N7" s="8">
        <f>Klima!R4*-1</f>
        <v>-5.399680199786252</v>
      </c>
      <c r="O7" s="8">
        <f>Klima!S4*-1</f>
        <v>-5.641408385660461</v>
      </c>
      <c r="P7" s="8">
        <f>Klima!T4*-1</f>
        <v>-5.754207636626959</v>
      </c>
      <c r="Q7" s="8">
        <f>Klima!U4*-1</f>
        <v>-5.807928847173885</v>
      </c>
      <c r="R7" s="8">
        <f>Klima!V4*-1</f>
        <v>-5.773344411983745</v>
      </c>
      <c r="S7" s="8">
        <f>Klima!W4*-1</f>
        <v>-5.801146913603014</v>
      </c>
      <c r="T7" s="8">
        <f>Klima!X4*-1</f>
        <v>-5.972210300470139</v>
      </c>
      <c r="U7" s="8">
        <f>Klima!Y4*-1</f>
        <v>-6.299330545256303</v>
      </c>
      <c r="V7" s="8"/>
      <c r="W7" s="8"/>
    </row>
    <row r="8" spans="1:23" ht="12.75">
      <c r="A8" s="12" t="s">
        <v>272</v>
      </c>
      <c r="B8" s="8">
        <f>'Anden luft'!F4</f>
        <v>-2.612600810492953</v>
      </c>
      <c r="C8" s="8">
        <f>'Anden luft'!G4</f>
        <v>-2.4391079595287097</v>
      </c>
      <c r="D8" s="8">
        <f>'Anden luft'!H4</f>
        <v>-2.224328330160348</v>
      </c>
      <c r="E8" s="8">
        <f>'Anden luft'!I4</f>
        <v>-2.09508198492569</v>
      </c>
      <c r="F8" s="8">
        <f>'Anden luft'!J4</f>
        <v>-1.8717454140610608</v>
      </c>
      <c r="G8" s="8">
        <f>'Anden luft'!K4</f>
        <v>-1.6835466479439225</v>
      </c>
      <c r="H8" s="8">
        <f>'Anden luft'!L4</f>
        <v>-1.6005854736131722</v>
      </c>
      <c r="I8" s="8">
        <f>'Anden luft'!M4</f>
        <v>-1.4302185672937369</v>
      </c>
      <c r="J8" s="8">
        <f>'Anden luft'!N4</f>
        <v>-1.580259536661182</v>
      </c>
      <c r="K8" s="8">
        <f>'Anden luft'!O4</f>
        <v>-1.4177772039864975</v>
      </c>
      <c r="L8" s="8">
        <f>'Anden luft'!P4</f>
        <v>-1.4062718343514615</v>
      </c>
      <c r="M8" s="8">
        <f>'Anden luft'!Q4</f>
        <v>-1.2985030491826017</v>
      </c>
      <c r="N8" s="8">
        <f>'Anden luft'!R4</f>
        <v>-1.1872133479423705</v>
      </c>
      <c r="O8" s="8">
        <f>'Anden luft'!S4</f>
        <v>-1.1167954289059419</v>
      </c>
      <c r="P8" s="8">
        <f>'Anden luft'!T4</f>
        <v>-1.0855151355300992</v>
      </c>
      <c r="Q8" s="8">
        <f>'Anden luft'!U4</f>
        <v>-0.9984413780515724</v>
      </c>
      <c r="R8" s="8">
        <f>'Anden luft'!V4</f>
        <v>-1.0522589902423014</v>
      </c>
      <c r="S8" s="8">
        <f>'Anden luft'!W4</f>
        <v>-0.9727217061058425</v>
      </c>
      <c r="T8" s="8">
        <f>'Anden luft'!X4</f>
        <v>-0.9228089135469528</v>
      </c>
      <c r="U8" s="8">
        <f>'Anden luft'!Y4</f>
        <v>-1.0355300413967274</v>
      </c>
      <c r="V8" s="8"/>
      <c r="W8" s="8"/>
    </row>
    <row r="9" spans="1:23" ht="12.75">
      <c r="A9" s="12" t="s">
        <v>273</v>
      </c>
      <c r="K9" s="8">
        <f>Grundvand!G4</f>
        <v>-0.10454354890765283</v>
      </c>
      <c r="L9" s="8">
        <f>Grundvand!H4</f>
        <v>0.07853927924204508</v>
      </c>
      <c r="M9" s="8">
        <f>Grundvand!I4</f>
        <v>-0.022281713309349718</v>
      </c>
      <c r="N9" s="8">
        <f>Grundvand!J4</f>
        <v>-0.1219821033853916</v>
      </c>
      <c r="O9" s="8">
        <f>Grundvand!K4</f>
        <v>-0.17675465868891335</v>
      </c>
      <c r="P9" s="8">
        <f>Grundvand!L4</f>
        <v>-0.021597781112172074</v>
      </c>
      <c r="Q9" s="8">
        <f>Grundvand!M4</f>
        <v>-0.09486922839138133</v>
      </c>
      <c r="R9" s="8">
        <f>Grundvand!N4</f>
        <v>-0.03058592948889057</v>
      </c>
      <c r="S9" s="8">
        <f>Grundvand!O4</f>
        <v>-0.010036381093530567</v>
      </c>
      <c r="T9" s="8">
        <f>Grundvand!P4</f>
        <v>0.07080874719220094</v>
      </c>
      <c r="U9" s="8">
        <f>Grundvand!Q4</f>
        <v>-0.09668365009114394</v>
      </c>
      <c r="V9" s="8">
        <f>Grundvand!R4</f>
        <v>0.02120969598281273</v>
      </c>
      <c r="W9" s="8"/>
    </row>
    <row r="10" spans="1:23" ht="12.75">
      <c r="A10" s="12" t="s">
        <v>274</v>
      </c>
      <c r="B10" s="8">
        <f>'Olie mv'!F4</f>
        <v>-0.8601050066503727</v>
      </c>
      <c r="C10" s="8">
        <f>'Olie mv'!G4</f>
        <v>-1.0909778741570313</v>
      </c>
      <c r="D10" s="8">
        <f>'Olie mv'!H4</f>
        <v>-1.2792742834221724</v>
      </c>
      <c r="E10" s="8">
        <f>'Olie mv'!I4</f>
        <v>-1.2705770656376376</v>
      </c>
      <c r="F10" s="8">
        <f>'Olie mv'!J4</f>
        <v>-1.3030884764926691</v>
      </c>
      <c r="G10" s="8">
        <f>'Olie mv'!K4</f>
        <v>-1.3484867061295547</v>
      </c>
      <c r="H10" s="8">
        <f>'Olie mv'!L4</f>
        <v>-1.7130378941256987</v>
      </c>
      <c r="I10" s="8">
        <f>'Olie mv'!M4</f>
        <v>-1.9367638221396433</v>
      </c>
      <c r="J10" s="8">
        <f>'Olie mv'!N4</f>
        <v>-1.7908473714895097</v>
      </c>
      <c r="K10" s="8">
        <f>'Olie mv'!O4</f>
        <v>-2.2347646841334723</v>
      </c>
      <c r="L10" s="8">
        <f>'Olie mv'!P4</f>
        <v>-2.5732054040761754</v>
      </c>
      <c r="M10" s="8">
        <f>'Olie mv'!Q4</f>
        <v>-2.4179712044801667</v>
      </c>
      <c r="N10" s="8">
        <f>'Olie mv'!R4</f>
        <v>-2.6048209385340195</v>
      </c>
      <c r="O10" s="8">
        <f>'Olie mv'!S4</f>
        <v>-2.463091918351334</v>
      </c>
      <c r="P10" s="8">
        <f>'Olie mv'!T4</f>
        <v>-2.590951427477004</v>
      </c>
      <c r="Q10" s="8">
        <f>'Olie mv'!U4</f>
        <v>-2.5024189477771306</v>
      </c>
      <c r="R10" s="8">
        <f>'Olie mv'!V4</f>
        <v>-2.1709518708363156</v>
      </c>
      <c r="S10" s="8">
        <f>'Olie mv'!W4</f>
        <v>-1.8323083109059803</v>
      </c>
      <c r="T10" s="8">
        <f>'Olie mv'!X4</f>
        <v>-1.6012108706382076</v>
      </c>
      <c r="U10" s="8">
        <f>'Olie mv'!Y4</f>
        <v>-1.383184847753494</v>
      </c>
      <c r="V10" s="8">
        <f>'Olie mv'!Z4</f>
        <v>-1.2251424753984128</v>
      </c>
      <c r="W10" s="8"/>
    </row>
    <row r="11" spans="1:23" ht="12.75">
      <c r="A11" s="12" t="s">
        <v>275</v>
      </c>
      <c r="C11" s="8">
        <f>Fisk!G4</f>
        <v>-0.03767360825584502</v>
      </c>
      <c r="D11" s="8">
        <f>Fisk!H4</f>
        <v>-0.03305773019702444</v>
      </c>
      <c r="E11" s="8">
        <f>Fisk!I4</f>
        <v>-0.028463787800390924</v>
      </c>
      <c r="F11" s="8">
        <f>Fisk!J4</f>
        <v>0.0272620539601085</v>
      </c>
      <c r="G11" s="8">
        <f>Fisk!K4</f>
        <v>0.014237771263803607</v>
      </c>
      <c r="H11" s="8">
        <f>Fisk!L4</f>
        <v>0.031463471478956485</v>
      </c>
      <c r="I11" s="8">
        <f>Fisk!M4</f>
        <v>0.0005689654792012536</v>
      </c>
      <c r="J11" s="8">
        <f>Fisk!N4</f>
        <v>0.0025792965660720126</v>
      </c>
      <c r="K11" s="8">
        <f>Fisk!O4</f>
        <v>0.0005922686538782178</v>
      </c>
      <c r="L11" s="8">
        <f>Fisk!P4</f>
        <v>-0.023555936538549906</v>
      </c>
      <c r="M11" s="8">
        <f>Fisk!Q4</f>
        <v>-0.02796915737637648</v>
      </c>
      <c r="N11" s="8">
        <f>Fisk!R4</f>
        <v>-0.029924250572991105</v>
      </c>
      <c r="O11" s="8">
        <f>Fisk!S4</f>
        <v>-0.003734561998417556</v>
      </c>
      <c r="P11" s="8">
        <f>Fisk!T4</f>
        <v>-0.018311306682577598</v>
      </c>
      <c r="Q11" s="8">
        <f>Fisk!U4</f>
        <v>-0.0072142909143855455</v>
      </c>
      <c r="R11" s="8">
        <f>Fisk!V4</f>
        <v>-0.021277064425945645</v>
      </c>
      <c r="S11" s="8">
        <f>Fisk!W4</f>
        <v>-0.03484274851098786</v>
      </c>
      <c r="T11" s="8">
        <f>Fisk!X4</f>
        <v>-0.022476599080916617</v>
      </c>
      <c r="U11" s="8">
        <f>Fisk!Y4</f>
        <v>-0.0024152094462396687</v>
      </c>
      <c r="V11" s="8"/>
      <c r="W11" s="8"/>
    </row>
    <row r="12" spans="1:23" ht="12.75">
      <c r="A12" s="12" t="s">
        <v>276</v>
      </c>
      <c r="C12" s="8">
        <f>Skov!G4</f>
        <v>0.0006726000097886733</v>
      </c>
      <c r="D12" s="8">
        <f>Skov!H4</f>
        <v>0.014312928599309702</v>
      </c>
      <c r="E12" s="8">
        <f>Skov!I4</f>
        <v>0.004112251754864981</v>
      </c>
      <c r="F12" s="8">
        <f>Skov!J4</f>
        <v>0.018172706332878256</v>
      </c>
      <c r="G12" s="8">
        <f>Skov!K4</f>
        <v>0.012556936304398376</v>
      </c>
      <c r="H12" s="8">
        <f>Skov!L4</f>
        <v>0.010205699319953946</v>
      </c>
      <c r="I12" s="8">
        <f>Skov!M4</f>
        <v>0.013769143120185338</v>
      </c>
      <c r="J12" s="8">
        <f>Skov!N4</f>
        <v>0.009214764568455158</v>
      </c>
      <c r="K12" s="8">
        <f>Skov!O4</f>
        <v>0.027026671652683257</v>
      </c>
      <c r="L12" s="8">
        <f>Skov!P4</f>
        <v>0.009097741318169072</v>
      </c>
      <c r="M12" s="8">
        <f>Skov!Q4</f>
        <v>0.01030795071196619</v>
      </c>
      <c r="N12" s="8">
        <f>Skov!R4</f>
        <v>0.003911948907765048</v>
      </c>
      <c r="O12" s="8">
        <f>Skov!S4</f>
        <v>0.008963936507173954</v>
      </c>
      <c r="P12" s="8">
        <f>Skov!T4</f>
        <v>0.005680630594217952</v>
      </c>
      <c r="Q12" s="8">
        <f>Skov!U4</f>
        <v>0.017452671803561776</v>
      </c>
      <c r="R12" s="8">
        <f>Skov!V4</f>
        <v>0.016666672701989668</v>
      </c>
      <c r="S12" s="8">
        <f>Skov!W4</f>
        <v>0.001534414177287311</v>
      </c>
      <c r="T12" s="8">
        <f>Skov!X4</f>
        <v>0.018941953239909905</v>
      </c>
      <c r="U12" s="8">
        <f>Skov!Y4</f>
        <v>0.050695069098391804</v>
      </c>
      <c r="V12" s="8"/>
      <c r="W12" s="8"/>
    </row>
    <row r="13" spans="1:22" ht="12.75">
      <c r="A13" s="12" t="s">
        <v>277</v>
      </c>
      <c r="B13" s="8">
        <f>Fysisk!F4</f>
        <v>4.701406194375223</v>
      </c>
      <c r="C13" s="8">
        <f>Fysisk!G4</f>
        <v>3.6152697241258127</v>
      </c>
      <c r="D13" s="8">
        <f>Fysisk!H4</f>
        <v>2.688264690677236</v>
      </c>
      <c r="E13" s="8">
        <f>Fysisk!I4</f>
        <v>1.63815108658158</v>
      </c>
      <c r="F13" s="8">
        <f>Fysisk!J4</f>
        <v>1.727711040287652</v>
      </c>
      <c r="G13" s="8">
        <f>Fysisk!K4</f>
        <v>3.3786076752299397</v>
      </c>
      <c r="H13" s="8">
        <f>Fysisk!L4</f>
        <v>3.1010101010101008</v>
      </c>
      <c r="I13" s="8">
        <f>Fysisk!M4</f>
        <v>3.957860131500299</v>
      </c>
      <c r="J13" s="8">
        <f>Fysisk!N4</f>
        <v>4.5278285672493235</v>
      </c>
      <c r="K13" s="8">
        <f>Fysisk!O4</f>
        <v>3.179633459316837</v>
      </c>
      <c r="L13" s="8">
        <f>Fysisk!P4</f>
        <v>4.307273729163797</v>
      </c>
      <c r="M13" s="8">
        <f>Fysisk!Q4</f>
        <v>3.4871075849805075</v>
      </c>
      <c r="N13" s="8">
        <f>Fysisk!R4</f>
        <v>3.108993124106474</v>
      </c>
      <c r="O13" s="8">
        <f>Fysisk!S4</f>
        <v>2.7168531705662935</v>
      </c>
      <c r="P13" s="8">
        <f>Fysisk!T4</f>
        <v>2.8406258286926542</v>
      </c>
      <c r="Q13" s="8">
        <f>Fysisk!U4</f>
        <v>3.2937293729372943</v>
      </c>
      <c r="R13" s="8">
        <f>Fysisk!V4</f>
        <v>5.553295362082994</v>
      </c>
      <c r="S13" s="8">
        <f>Fysisk!W4</f>
        <v>4.855514479359211</v>
      </c>
      <c r="T13" s="8">
        <f>Fysisk!X4</f>
        <v>3.7502949760914115</v>
      </c>
      <c r="U13" s="8">
        <f>Fysisk!Y4</f>
        <v>0.4939655740948361</v>
      </c>
      <c r="V13" s="8"/>
    </row>
    <row r="14" spans="1:22" ht="12.75">
      <c r="A14" s="12" t="s">
        <v>278</v>
      </c>
      <c r="B14" s="8">
        <f>Finansiel!F4</f>
        <v>0.46865494604771235</v>
      </c>
      <c r="C14" s="8">
        <f>Finansiel!G4</f>
        <v>0.8534522071677111</v>
      </c>
      <c r="D14" s="8">
        <f>Finansiel!H4</f>
        <v>2.111186119363826</v>
      </c>
      <c r="E14" s="8">
        <f>Finansiel!I4</f>
        <v>2.931360367679001</v>
      </c>
      <c r="F14" s="8">
        <f>Finansiel!J4</f>
        <v>1.6383997250768338</v>
      </c>
      <c r="G14" s="8">
        <f>Finansiel!K4</f>
        <v>0.8763643849246425</v>
      </c>
      <c r="H14" s="8">
        <f>Finansiel!L4</f>
        <v>1.5146019956999162</v>
      </c>
      <c r="I14" s="8">
        <f>Finansiel!M4</f>
        <v>0.6684296570388183</v>
      </c>
      <c r="J14" s="8">
        <f>Finansiel!N4</f>
        <v>-0.8922427999602406</v>
      </c>
      <c r="K14" s="8">
        <f>Finansiel!O4</f>
        <v>2.5768227025582133</v>
      </c>
      <c r="L14" s="8">
        <f>Finansiel!P4</f>
        <v>1.4258815992375056</v>
      </c>
      <c r="M14" s="8">
        <f>Finansiel!Q4</f>
        <v>3.139234990731162</v>
      </c>
      <c r="N14" s="8">
        <f>Finansiel!R4</f>
        <v>2.568401614468232</v>
      </c>
      <c r="O14" s="8">
        <f>Finansiel!S4</f>
        <v>3.4446922834502876</v>
      </c>
      <c r="P14" s="8">
        <f>Finansiel!T4</f>
        <v>3.0267267711760226</v>
      </c>
      <c r="Q14" s="8">
        <f>Finansiel!U4</f>
        <v>4.530447162363295</v>
      </c>
      <c r="R14" s="8">
        <f>Finansiel!V4</f>
        <v>2.98097992078726</v>
      </c>
      <c r="S14" s="8">
        <f>Finansiel!W4</f>
        <v>1.374780292675989</v>
      </c>
      <c r="T14" s="8">
        <f>Finansiel!X4</f>
        <v>2.6563033163189456</v>
      </c>
      <c r="U14" s="8">
        <f>Finansiel!Y4</f>
        <v>3.523791492117476</v>
      </c>
      <c r="V14" s="8"/>
    </row>
    <row r="15" spans="1:22" ht="12.75">
      <c r="A15" s="12" t="s">
        <v>279</v>
      </c>
      <c r="B15" s="8">
        <f>Human!BU4</f>
        <v>10.452243112355085</v>
      </c>
      <c r="C15" s="8">
        <f>Human!BV4</f>
        <v>10.103250907845904</v>
      </c>
      <c r="D15" s="8">
        <f>Human!BW4</f>
        <v>10.623881550841531</v>
      </c>
      <c r="E15" s="8">
        <f>Human!BX4</f>
        <v>10.84876706124115</v>
      </c>
      <c r="F15" s="8">
        <f>Human!BY4</f>
        <v>10.23346616273731</v>
      </c>
      <c r="G15" s="8">
        <f>Human!BZ4</f>
        <v>10.222347216657516</v>
      </c>
      <c r="H15" s="8">
        <f>Human!CA4</f>
        <v>10.164896630229642</v>
      </c>
      <c r="I15" s="8">
        <f>Human!CB4</f>
        <v>10.081935648398318</v>
      </c>
      <c r="J15" s="8">
        <f>Human!CC4</f>
        <v>10.570681798973341</v>
      </c>
      <c r="K15" s="8">
        <f>Human!CD4</f>
        <v>10.902988341762105</v>
      </c>
      <c r="L15" s="8">
        <f>Human!CE4</f>
        <v>10.626501787180349</v>
      </c>
      <c r="M15" s="8">
        <f>Human!CF4</f>
        <v>10.628155754843629</v>
      </c>
      <c r="N15" s="8">
        <f>Human!CG4</f>
        <v>10.76595670970275</v>
      </c>
      <c r="O15" s="8">
        <f>Human!CH4</f>
        <v>10.807288399729346</v>
      </c>
      <c r="P15" s="8">
        <f>Human!CI4</f>
        <v>10.711522808972232</v>
      </c>
      <c r="Q15" s="8">
        <f>Human!CJ4</f>
        <v>10.014079328814402</v>
      </c>
      <c r="R15" s="8">
        <f>Human!CK4</f>
        <v>9.639684226128367</v>
      </c>
      <c r="S15" s="8">
        <f>Human!CL4</f>
        <v>9.26020872689949</v>
      </c>
      <c r="T15" s="8">
        <f>Human!CM4</f>
        <v>9.360374924919169</v>
      </c>
      <c r="U15" s="8">
        <f>Human!CN4</f>
        <v>10.944858064689598</v>
      </c>
      <c r="V15" s="8">
        <f>Human!CO4</f>
        <v>11.151692230580618</v>
      </c>
    </row>
    <row r="16" spans="1:23" ht="12.75">
      <c r="A16" s="12" t="s">
        <v>280</v>
      </c>
      <c r="B16" s="8">
        <f>Viden!O4</f>
        <v>0.7263657369326423</v>
      </c>
      <c r="C16" s="8">
        <f>Viden!P4</f>
        <v>0.6984996055240361</v>
      </c>
      <c r="D16" s="8">
        <f>Viden!Q4</f>
        <v>0.6279772053267365</v>
      </c>
      <c r="E16" s="8">
        <f>Viden!R4</f>
        <v>0.6046132324119952</v>
      </c>
      <c r="F16" s="8">
        <f>Viden!S4</f>
        <v>0.6141859063338289</v>
      </c>
      <c r="G16" s="8">
        <f>Viden!T4</f>
        <v>0.6640171021477469</v>
      </c>
      <c r="H16" s="8">
        <f>Viden!U4</f>
        <v>0.6485693274876396</v>
      </c>
      <c r="I16" s="8">
        <f>Viden!V4</f>
        <v>0.7223055226343824</v>
      </c>
      <c r="J16" s="8">
        <f>Viden!W4</f>
        <v>0.7982074827665198</v>
      </c>
      <c r="K16" s="8">
        <f>Viden!X4</f>
        <v>0.9011624534097157</v>
      </c>
      <c r="L16" s="8">
        <f>Viden!Y4</f>
        <v>0.9462161344987794</v>
      </c>
      <c r="M16" s="8">
        <f>Viden!Z4</f>
        <v>0.9976597912903374</v>
      </c>
      <c r="N16" s="8">
        <f>Viden!AA4</f>
        <v>0.9930056357486163</v>
      </c>
      <c r="O16" s="8">
        <f>Viden!AB4</f>
        <v>0.9501988743334504</v>
      </c>
      <c r="P16" s="8">
        <f>Viden!AC4</f>
        <v>0.7874799645537304</v>
      </c>
      <c r="Q16" s="8">
        <f>Viden!AD4</f>
        <v>0.7424501870144394</v>
      </c>
      <c r="R16" s="8">
        <f>Viden!AE4</f>
        <v>0.7764794983105631</v>
      </c>
      <c r="S16" s="8">
        <f>Viden!AF4</f>
        <v>0.8569445807725469</v>
      </c>
      <c r="T16" s="8">
        <f>Viden!AG4</f>
        <v>1.03899240546717</v>
      </c>
      <c r="U16" s="8">
        <f>Viden!AH4</f>
        <v>0.9211975568466708</v>
      </c>
      <c r="W16" s="8"/>
    </row>
    <row r="17" spans="1:23" ht="12.75">
      <c r="A17" s="12" t="s">
        <v>281</v>
      </c>
      <c r="B17" s="8">
        <f>Sundhed!G4</f>
        <v>8.449576845608071</v>
      </c>
      <c r="C17" s="8">
        <f>Sundhed!H4</f>
        <v>18.585481129002694</v>
      </c>
      <c r="D17" s="8">
        <f>Sundhed!I4</f>
        <v>18.401607651348765</v>
      </c>
      <c r="E17" s="8">
        <f>Sundhed!J4</f>
        <v>29.666230821234933</v>
      </c>
      <c r="F17" s="8">
        <f>Sundhed!K4</f>
        <v>26.783794650683472</v>
      </c>
      <c r="G17" s="8">
        <f>Sundhed!L4</f>
        <v>28.20802766251502</v>
      </c>
      <c r="H17" s="8">
        <f>Sundhed!M4</f>
        <v>51.526266521377714</v>
      </c>
      <c r="I17" s="8">
        <f>Sundhed!N4</f>
        <v>33.2540780154957</v>
      </c>
      <c r="J17" s="8">
        <f>Sundhed!O4</f>
        <v>25.959159964479056</v>
      </c>
      <c r="K17" s="8">
        <f>Sundhed!P4</f>
        <v>23.90345883329044</v>
      </c>
      <c r="L17" s="8">
        <f>Sundhed!Q4</f>
        <v>19.123544656896517</v>
      </c>
      <c r="M17" s="8">
        <f>Sundhed!R4</f>
        <v>23.06201951290466</v>
      </c>
      <c r="N17" s="8">
        <f>Sundhed!S4</f>
        <v>21.205620420319203</v>
      </c>
      <c r="O17" s="8">
        <f>Sundhed!T4</f>
        <v>16.928098574212445</v>
      </c>
      <c r="P17" s="8">
        <f>Sundhed!U4</f>
        <v>13.355001565356217</v>
      </c>
      <c r="Q17" s="8">
        <f>Sundhed!V4</f>
        <v>12.651048860564684</v>
      </c>
      <c r="R17" s="8">
        <f>Sundhed!W4</f>
        <v>13.960655596564001</v>
      </c>
      <c r="S17" s="8">
        <f>Sundhed!X4</f>
        <v>21.47033270583565</v>
      </c>
      <c r="T17" s="8">
        <f>Sundhed!Y4</f>
        <v>26.99583616318158</v>
      </c>
      <c r="U17" s="8">
        <f>Sundhed!Z4</f>
        <v>36.19787953937151</v>
      </c>
      <c r="W17" s="8"/>
    </row>
    <row r="18" spans="1:21" s="5" customFormat="1" ht="12.75">
      <c r="A18" s="5" t="s">
        <v>282</v>
      </c>
      <c r="B18" s="10">
        <f>SUM(B7:B8)+SUM(B10:B16)</f>
        <v>6.48522642352456</v>
      </c>
      <c r="C18" s="10">
        <f>SUM(C7:C8)+SUM(C10:C16)</f>
        <v>5.334387580198147</v>
      </c>
      <c r="D18" s="10">
        <f aca="true" t="shared" si="1" ref="D18:U18">SUM(D7:D8)+SUM(D10:D16)</f>
        <v>6.328492631793502</v>
      </c>
      <c r="E18" s="10">
        <f t="shared" si="1"/>
        <v>6.434035593740326</v>
      </c>
      <c r="F18" s="10">
        <f t="shared" si="1"/>
        <v>5.138208052333484</v>
      </c>
      <c r="G18" s="10">
        <f t="shared" si="1"/>
        <v>6.280056274474074</v>
      </c>
      <c r="H18" s="10">
        <f t="shared" si="1"/>
        <v>6.38254714245204</v>
      </c>
      <c r="I18" s="10">
        <f t="shared" si="1"/>
        <v>6.414238190777196</v>
      </c>
      <c r="J18" s="10">
        <f t="shared" si="1"/>
        <v>6.116832285047308</v>
      </c>
      <c r="K18" s="10">
        <f t="shared" si="1"/>
        <v>8.577416664201984</v>
      </c>
      <c r="L18" s="10">
        <f t="shared" si="1"/>
        <v>8.043794004756029</v>
      </c>
      <c r="M18" s="10">
        <f t="shared" si="1"/>
        <v>9.161948111990633</v>
      </c>
      <c r="N18" s="10">
        <f t="shared" si="1"/>
        <v>8.218630296098205</v>
      </c>
      <c r="O18" s="10">
        <f t="shared" si="1"/>
        <v>8.7029663696704</v>
      </c>
      <c r="P18" s="10">
        <f t="shared" si="1"/>
        <v>7.923050497672218</v>
      </c>
      <c r="Q18" s="10">
        <f t="shared" si="1"/>
        <v>9.282155259016019</v>
      </c>
      <c r="R18" s="10">
        <f t="shared" si="1"/>
        <v>9.949273342522865</v>
      </c>
      <c r="S18" s="10">
        <f t="shared" si="1"/>
        <v>7.707962814758701</v>
      </c>
      <c r="T18" s="10">
        <f t="shared" si="1"/>
        <v>8.30620089230039</v>
      </c>
      <c r="U18" s="10">
        <f t="shared" si="1"/>
        <v>7.214047112994209</v>
      </c>
    </row>
    <row r="19" ht="12.75">
      <c r="A19" s="11" t="s">
        <v>283</v>
      </c>
    </row>
    <row r="21" ht="12.75">
      <c r="A21" s="7"/>
    </row>
  </sheetData>
  <hyperlinks>
    <hyperlink ref="A7" location="Klima!A1" display="Klimaproblemet"/>
    <hyperlink ref="A8" location="'Anden luft'!A1" display="Anden luftforurening"/>
    <hyperlink ref="A9" location="Grundvand!A1" display="Grundvand"/>
    <hyperlink ref="A10" location="'Olie mv'!A1" display="Ikke-fornybare naturressourcer"/>
    <hyperlink ref="A11" location="Fisk!A1" display="Fisk"/>
    <hyperlink ref="A12" location="Skov!A1" display="Skov"/>
    <hyperlink ref="A13" location="Fysisk!A1" display="Fysisk kapital"/>
    <hyperlink ref="A14" location="Fysisk!A1" display="Finansiel kapital"/>
    <hyperlink ref="A15" location="Human!A1" display="Humankapital"/>
    <hyperlink ref="A16" location="Human!A1" display="Videnskapital"/>
    <hyperlink ref="A17" location="Sundhed!A1" display="Sundhedskapital"/>
  </hyperlink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O63"/>
  <sheetViews>
    <sheetView workbookViewId="0" topLeftCell="A1">
      <selection activeCell="A2" sqref="A2"/>
    </sheetView>
  </sheetViews>
  <sheetFormatPr defaultColWidth="9.140625" defaultRowHeight="12.75"/>
  <cols>
    <col min="1" max="2" width="9.140625" style="9" customWidth="1"/>
    <col min="3" max="3" width="7.421875" style="9" customWidth="1"/>
    <col min="4" max="4" width="10.7109375" style="9" customWidth="1"/>
    <col min="5" max="72" width="9.140625" style="9" customWidth="1"/>
    <col min="73" max="73" width="9.57421875" style="9" bestFit="1" customWidth="1"/>
    <col min="74" max="74" width="9.140625" style="9" customWidth="1"/>
    <col min="75" max="75" width="10.140625" style="9" customWidth="1"/>
    <col min="76" max="16384" width="9.140625" style="9" customWidth="1"/>
  </cols>
  <sheetData>
    <row r="1" s="15" customFormat="1" ht="37.5" customHeight="1">
      <c r="A1" s="15" t="s">
        <v>279</v>
      </c>
    </row>
    <row r="2" spans="1:93" s="17" customFormat="1" ht="30" customHeight="1">
      <c r="A2" s="16" t="s">
        <v>287</v>
      </c>
      <c r="C2" s="17" t="s">
        <v>3</v>
      </c>
      <c r="D2" s="17" t="s">
        <v>2</v>
      </c>
      <c r="E2" s="17" t="s">
        <v>1</v>
      </c>
      <c r="F2" s="17">
        <v>1923</v>
      </c>
      <c r="G2" s="17">
        <v>1924</v>
      </c>
      <c r="H2" s="17">
        <v>1925</v>
      </c>
      <c r="I2" s="17">
        <v>1926</v>
      </c>
      <c r="J2" s="17">
        <v>1927</v>
      </c>
      <c r="K2" s="17">
        <v>1928</v>
      </c>
      <c r="L2" s="17">
        <v>1929</v>
      </c>
      <c r="M2" s="17">
        <v>1930</v>
      </c>
      <c r="N2" s="17">
        <v>1931</v>
      </c>
      <c r="O2" s="17">
        <v>1932</v>
      </c>
      <c r="P2" s="17">
        <v>1933</v>
      </c>
      <c r="Q2" s="17">
        <v>1934</v>
      </c>
      <c r="R2" s="17">
        <v>1935</v>
      </c>
      <c r="S2" s="17">
        <v>1936</v>
      </c>
      <c r="T2" s="17">
        <v>1937</v>
      </c>
      <c r="U2" s="17">
        <v>1938</v>
      </c>
      <c r="V2" s="17">
        <v>1939</v>
      </c>
      <c r="W2" s="17">
        <v>1940</v>
      </c>
      <c r="X2" s="17">
        <v>1941</v>
      </c>
      <c r="Y2" s="17">
        <v>1942</v>
      </c>
      <c r="Z2" s="17">
        <v>1943</v>
      </c>
      <c r="AA2" s="17">
        <v>1944</v>
      </c>
      <c r="AB2" s="17">
        <v>1945</v>
      </c>
      <c r="AC2" s="17">
        <v>1946</v>
      </c>
      <c r="AD2" s="17">
        <v>1947</v>
      </c>
      <c r="AE2" s="17">
        <v>1948</v>
      </c>
      <c r="AF2" s="17">
        <v>1949</v>
      </c>
      <c r="AG2" s="17">
        <v>1950</v>
      </c>
      <c r="AH2" s="17">
        <v>1951</v>
      </c>
      <c r="AI2" s="17">
        <v>1952</v>
      </c>
      <c r="AJ2" s="17">
        <v>1953</v>
      </c>
      <c r="AK2" s="17">
        <v>1954</v>
      </c>
      <c r="AL2" s="17">
        <v>1955</v>
      </c>
      <c r="AM2" s="17">
        <v>1956</v>
      </c>
      <c r="AN2" s="17">
        <v>1957</v>
      </c>
      <c r="AO2" s="17">
        <v>1958</v>
      </c>
      <c r="AP2" s="17">
        <v>1959</v>
      </c>
      <c r="AQ2" s="17">
        <v>1960</v>
      </c>
      <c r="AR2" s="17">
        <v>1961</v>
      </c>
      <c r="AS2" s="17">
        <v>1962</v>
      </c>
      <c r="AT2" s="17">
        <v>1963</v>
      </c>
      <c r="AU2" s="17">
        <v>1964</v>
      </c>
      <c r="AV2" s="17">
        <v>1965</v>
      </c>
      <c r="AW2" s="17">
        <v>1966</v>
      </c>
      <c r="AX2" s="17">
        <v>1967</v>
      </c>
      <c r="AY2" s="17">
        <v>1968</v>
      </c>
      <c r="AZ2" s="17">
        <v>1969</v>
      </c>
      <c r="BA2" s="17">
        <v>1970</v>
      </c>
      <c r="BB2" s="17">
        <v>1971</v>
      </c>
      <c r="BC2" s="17">
        <v>1972</v>
      </c>
      <c r="BD2" s="17">
        <v>1973</v>
      </c>
      <c r="BE2" s="17">
        <v>1974</v>
      </c>
      <c r="BF2" s="17">
        <v>1975</v>
      </c>
      <c r="BG2" s="17">
        <v>1976</v>
      </c>
      <c r="BH2" s="17">
        <v>1977</v>
      </c>
      <c r="BI2" s="17">
        <v>1978</v>
      </c>
      <c r="BJ2" s="17">
        <v>1979</v>
      </c>
      <c r="BK2" s="17">
        <v>1980</v>
      </c>
      <c r="BL2" s="17">
        <v>1981</v>
      </c>
      <c r="BM2" s="17">
        <v>1982</v>
      </c>
      <c r="BN2" s="17">
        <v>1983</v>
      </c>
      <c r="BO2" s="17">
        <v>1984</v>
      </c>
      <c r="BP2" s="17">
        <v>1985</v>
      </c>
      <c r="BQ2" s="17">
        <v>1986</v>
      </c>
      <c r="BR2" s="17">
        <v>1987</v>
      </c>
      <c r="BS2" s="17">
        <v>1988</v>
      </c>
      <c r="BT2" s="17">
        <v>1989</v>
      </c>
      <c r="BU2" s="17">
        <v>1990</v>
      </c>
      <c r="BV2" s="17">
        <v>1991</v>
      </c>
      <c r="BW2" s="17">
        <v>1992</v>
      </c>
      <c r="BX2" s="17">
        <v>1993</v>
      </c>
      <c r="BY2" s="17">
        <v>1994</v>
      </c>
      <c r="BZ2" s="17">
        <v>1995</v>
      </c>
      <c r="CA2" s="17">
        <v>1996</v>
      </c>
      <c r="CB2" s="17">
        <v>1997</v>
      </c>
      <c r="CC2" s="17">
        <v>1998</v>
      </c>
      <c r="CD2" s="17">
        <v>1999</v>
      </c>
      <c r="CE2" s="17">
        <v>2000</v>
      </c>
      <c r="CF2" s="17">
        <v>2001</v>
      </c>
      <c r="CG2" s="17">
        <v>2002</v>
      </c>
      <c r="CH2" s="17">
        <v>2003</v>
      </c>
      <c r="CI2" s="17">
        <v>2004</v>
      </c>
      <c r="CJ2" s="17">
        <v>2005</v>
      </c>
      <c r="CK2" s="17">
        <v>2006</v>
      </c>
      <c r="CL2" s="17">
        <v>2007</v>
      </c>
      <c r="CM2" s="17">
        <v>2008</v>
      </c>
      <c r="CN2" s="17">
        <v>2009</v>
      </c>
      <c r="CO2" s="17">
        <v>2010</v>
      </c>
    </row>
    <row r="3" spans="1:93" ht="12.75">
      <c r="A3" s="9" t="s">
        <v>21</v>
      </c>
      <c r="E3" s="9" t="s">
        <v>25</v>
      </c>
      <c r="BU3" s="8">
        <f>BU12+BU22</f>
        <v>117.44140361042173</v>
      </c>
      <c r="BV3" s="8">
        <f aca="true" t="shared" si="0" ref="BV3:CO3">BV12+BV22</f>
        <v>114.9952018331021</v>
      </c>
      <c r="BW3" s="8">
        <f t="shared" si="0"/>
        <v>123.3007692790668</v>
      </c>
      <c r="BX3" s="8">
        <f t="shared" si="0"/>
        <v>125.80230284215236</v>
      </c>
      <c r="BY3" s="8">
        <f t="shared" si="0"/>
        <v>125.22692543341645</v>
      </c>
      <c r="BZ3" s="8">
        <f t="shared" si="0"/>
        <v>128.9242430964846</v>
      </c>
      <c r="CA3" s="8">
        <f t="shared" si="0"/>
        <v>131.82854439744824</v>
      </c>
      <c r="CB3" s="8">
        <f t="shared" si="0"/>
        <v>134.9366267181631</v>
      </c>
      <c r="CC3" s="8">
        <f t="shared" si="0"/>
        <v>144.5329322373625</v>
      </c>
      <c r="CD3" s="8">
        <f t="shared" si="0"/>
        <v>152.89260551653</v>
      </c>
      <c r="CE3" s="8">
        <f t="shared" si="0"/>
        <v>154.27555294628428</v>
      </c>
      <c r="CF3" s="8">
        <f t="shared" si="0"/>
        <v>155.39426529156867</v>
      </c>
      <c r="CG3" s="8">
        <f t="shared" si="0"/>
        <v>158.14113810882372</v>
      </c>
      <c r="CH3" s="8">
        <f t="shared" si="0"/>
        <v>159.3534674540092</v>
      </c>
      <c r="CI3" s="8">
        <f t="shared" si="0"/>
        <v>161.57261005053715</v>
      </c>
      <c r="CJ3" s="8">
        <f t="shared" si="0"/>
        <v>154.74756786816897</v>
      </c>
      <c r="CK3" s="8">
        <f t="shared" si="0"/>
        <v>154.0132348808529</v>
      </c>
      <c r="CL3" s="8">
        <f t="shared" si="0"/>
        <v>150.29318763757874</v>
      </c>
      <c r="CM3" s="8">
        <f t="shared" si="0"/>
        <v>150.73011741597338</v>
      </c>
      <c r="CN3" s="8">
        <f t="shared" si="0"/>
        <v>165.95688283488835</v>
      </c>
      <c r="CO3" s="8">
        <f t="shared" si="0"/>
        <v>171.28999266171832</v>
      </c>
    </row>
    <row r="4" spans="1:93" ht="12.75">
      <c r="A4" s="9" t="s">
        <v>21</v>
      </c>
      <c r="E4" s="9" t="s">
        <v>105</v>
      </c>
      <c r="BU4" s="8">
        <f>BU3/BNP!Y3*100</f>
        <v>10.452243112355085</v>
      </c>
      <c r="BV4" s="8">
        <f>BV3/BNP!Z3*100</f>
        <v>10.103250907845904</v>
      </c>
      <c r="BW4" s="8">
        <f>BW3/BNP!AA3*100</f>
        <v>10.623881550841531</v>
      </c>
      <c r="BX4" s="8">
        <f>BX3/BNP!AB3*100</f>
        <v>10.84876706124115</v>
      </c>
      <c r="BY4" s="8">
        <f>BY3/BNP!AC3*100</f>
        <v>10.23346616273731</v>
      </c>
      <c r="BZ4" s="8">
        <f>BZ3/BNP!AD3*100</f>
        <v>10.222347216657516</v>
      </c>
      <c r="CA4" s="8">
        <f>CA3/BNP!AE3*100</f>
        <v>10.164896630229642</v>
      </c>
      <c r="CB4" s="8">
        <f>CB3/BNP!AF3*100</f>
        <v>10.081935648398318</v>
      </c>
      <c r="CC4" s="8">
        <f>CC3/BNP!AG3*100</f>
        <v>10.570681798973341</v>
      </c>
      <c r="CD4" s="8">
        <f>CD3/BNP!AH3*100</f>
        <v>10.902988341762105</v>
      </c>
      <c r="CE4" s="8">
        <f>CE3/BNP!AI3*100</f>
        <v>10.626501787180349</v>
      </c>
      <c r="CF4" s="8">
        <f>CF3/BNP!AJ3*100</f>
        <v>10.628155754843629</v>
      </c>
      <c r="CG4" s="8">
        <f>CG3/BNP!AK3*100</f>
        <v>10.76595670970275</v>
      </c>
      <c r="CH4" s="8">
        <f>CH3/BNP!AL3*100</f>
        <v>10.807288399729346</v>
      </c>
      <c r="CI4" s="8">
        <f>CI3/BNP!AM3*100</f>
        <v>10.711522808972232</v>
      </c>
      <c r="CJ4" s="8">
        <f>CJ3/BNP!AN3*100</f>
        <v>10.014079328814402</v>
      </c>
      <c r="CK4" s="8">
        <f>CK3/BNP!AO3*100</f>
        <v>9.639684226128367</v>
      </c>
      <c r="CL4" s="8">
        <f>CL3/BNP!AP3*100</f>
        <v>9.26020872689949</v>
      </c>
      <c r="CM4" s="8">
        <f>CM3/BNP!AQ3*100</f>
        <v>9.360374924919169</v>
      </c>
      <c r="CN4" s="8">
        <f>CN3/BNP!AR3*100</f>
        <v>10.944858064689598</v>
      </c>
      <c r="CO4" s="8">
        <f>CO3/BNP!AS3*100</f>
        <v>11.151692230580618</v>
      </c>
    </row>
    <row r="5" spans="73:92" ht="12.75">
      <c r="BU5" s="8"/>
      <c r="BV5" s="8"/>
      <c r="BW5" s="8"/>
      <c r="BX5" s="8"/>
      <c r="BY5" s="8"/>
      <c r="BZ5" s="8"/>
      <c r="CA5" s="8"/>
      <c r="CB5" s="8"/>
      <c r="CC5" s="8"/>
      <c r="CD5" s="8"/>
      <c r="CE5" s="8"/>
      <c r="CF5" s="8"/>
      <c r="CG5" s="8"/>
      <c r="CH5" s="8"/>
      <c r="CI5" s="8"/>
      <c r="CJ5" s="8"/>
      <c r="CK5" s="8"/>
      <c r="CL5" s="8"/>
      <c r="CM5" s="8"/>
      <c r="CN5" s="8"/>
    </row>
    <row r="6" spans="1:92" ht="12.75">
      <c r="A6" s="9" t="s">
        <v>197</v>
      </c>
      <c r="BU6" s="8"/>
      <c r="BV6" s="8"/>
      <c r="BW6" s="8"/>
      <c r="BX6" s="8"/>
      <c r="BY6" s="8"/>
      <c r="BZ6" s="8"/>
      <c r="CA6" s="8"/>
      <c r="CB6" s="8"/>
      <c r="CC6" s="8"/>
      <c r="CD6" s="8"/>
      <c r="CE6" s="8"/>
      <c r="CF6" s="8"/>
      <c r="CG6" s="8"/>
      <c r="CH6" s="8"/>
      <c r="CI6" s="8"/>
      <c r="CJ6" s="8"/>
      <c r="CK6" s="8"/>
      <c r="CL6" s="8"/>
      <c r="CM6" s="8"/>
      <c r="CN6" s="8"/>
    </row>
    <row r="7" spans="1:93" ht="12.75">
      <c r="A7" s="9" t="s">
        <v>185</v>
      </c>
      <c r="C7" s="9" t="s">
        <v>186</v>
      </c>
      <c r="E7" s="9" t="s">
        <v>23</v>
      </c>
      <c r="BB7" s="14">
        <v>9430</v>
      </c>
      <c r="BC7" s="14">
        <v>10882</v>
      </c>
      <c r="BD7" s="14">
        <v>11983</v>
      </c>
      <c r="BE7" s="14">
        <v>14787</v>
      </c>
      <c r="BF7" s="14">
        <v>16895</v>
      </c>
      <c r="BG7" s="14">
        <v>18154</v>
      </c>
      <c r="BH7" s="14">
        <v>20028</v>
      </c>
      <c r="BI7" s="14">
        <v>22432</v>
      </c>
      <c r="BJ7" s="14">
        <v>25403</v>
      </c>
      <c r="BK7" s="14">
        <v>29498</v>
      </c>
      <c r="BL7" s="14">
        <v>32477</v>
      </c>
      <c r="BM7" s="14">
        <v>36260</v>
      </c>
      <c r="BN7" s="14">
        <v>38229</v>
      </c>
      <c r="BO7" s="14">
        <v>40585</v>
      </c>
      <c r="BP7" s="14">
        <v>41747</v>
      </c>
      <c r="BQ7" s="14">
        <v>43397</v>
      </c>
      <c r="BR7" s="14">
        <v>48097</v>
      </c>
      <c r="BS7" s="14">
        <v>52291</v>
      </c>
      <c r="BT7" s="14">
        <v>55793</v>
      </c>
      <c r="BU7" s="14">
        <v>56966</v>
      </c>
      <c r="BV7" s="14">
        <v>58052</v>
      </c>
      <c r="BW7" s="14">
        <v>64980</v>
      </c>
      <c r="BX7" s="14">
        <v>66472</v>
      </c>
      <c r="BY7" s="14">
        <v>68794</v>
      </c>
      <c r="BZ7" s="14">
        <v>71331</v>
      </c>
      <c r="CA7" s="14">
        <v>74532</v>
      </c>
      <c r="CB7" s="14">
        <v>76869</v>
      </c>
      <c r="CC7" s="14">
        <v>83059</v>
      </c>
      <c r="CD7" s="14">
        <v>89598</v>
      </c>
      <c r="CE7" s="14">
        <v>94354</v>
      </c>
      <c r="CF7" s="14">
        <v>97823</v>
      </c>
      <c r="CG7" s="14">
        <v>103934</v>
      </c>
      <c r="CH7" s="14">
        <v>106561</v>
      </c>
      <c r="CI7" s="14">
        <v>110819</v>
      </c>
      <c r="CJ7" s="14">
        <v>111915</v>
      </c>
      <c r="CK7" s="14">
        <v>113824</v>
      </c>
      <c r="CL7" s="14">
        <v>113150</v>
      </c>
      <c r="CM7" s="14">
        <v>120048</v>
      </c>
      <c r="CN7" s="14">
        <v>130976</v>
      </c>
      <c r="CO7" s="14">
        <v>140433</v>
      </c>
    </row>
    <row r="8" spans="1:93" ht="12.75">
      <c r="A8" s="9" t="s">
        <v>185</v>
      </c>
      <c r="D8" s="9" t="s">
        <v>39</v>
      </c>
      <c r="E8" s="9" t="s">
        <v>188</v>
      </c>
      <c r="BB8" s="14">
        <f>BB7/BNP!F4</f>
        <v>51698.910065266835</v>
      </c>
      <c r="BC8" s="14">
        <f>BC7/BNP!G4</f>
        <v>54434.386060611294</v>
      </c>
      <c r="BD8" s="14">
        <f>BD7/BNP!H4</f>
        <v>53869.95498857991</v>
      </c>
      <c r="BE8" s="14">
        <f>BE7/BNP!I4</f>
        <v>58799.36492391346</v>
      </c>
      <c r="BF8" s="14">
        <f>BF7/BNP!J4</f>
        <v>59282.760634262304</v>
      </c>
      <c r="BG8" s="14">
        <f>BG7/BNP!K4</f>
        <v>58236.35046078814</v>
      </c>
      <c r="BH8" s="14">
        <f>BH7/BNP!L4</f>
        <v>58982.020334749475</v>
      </c>
      <c r="BI8" s="14">
        <f>BI7/BNP!M4</f>
        <v>60599.15043513794</v>
      </c>
      <c r="BJ8" s="14">
        <f>BJ7/BNP!N4</f>
        <v>64109.34037656656</v>
      </c>
      <c r="BK8" s="14">
        <f>BK7/BNP!O4</f>
        <v>68693.26164630176</v>
      </c>
      <c r="BL8" s="14">
        <f>BL7/BNP!P4</f>
        <v>68477.19336997307</v>
      </c>
      <c r="BM8" s="14">
        <f>BM7/BNP!Q4</f>
        <v>69440.51801446754</v>
      </c>
      <c r="BN8" s="14">
        <f>BN7/BNP!R4</f>
        <v>68165.33122451659</v>
      </c>
      <c r="BO8" s="14">
        <f>BO7/BNP!S4</f>
        <v>68280.75254686324</v>
      </c>
      <c r="BP8" s="14">
        <f>BP7/BNP!T4</f>
        <v>67337.91004763995</v>
      </c>
      <c r="BQ8" s="14">
        <f>BQ7/BNP!U4</f>
        <v>68181.71623782128</v>
      </c>
      <c r="BR8" s="14">
        <f>BR7/BNP!V4</f>
        <v>72107.78323079551</v>
      </c>
      <c r="BS8" s="14">
        <f>BS7/BNP!W4</f>
        <v>75428.92655986929</v>
      </c>
      <c r="BT8" s="14">
        <f>BT7/BNP!X4</f>
        <v>76682.44135798844</v>
      </c>
      <c r="BU8" s="14">
        <f>BU7/BNP!Y4</f>
        <v>76136.94765578833</v>
      </c>
      <c r="BV8" s="14">
        <f>BV7/BNP!Z4</f>
        <v>75566.73003847915</v>
      </c>
      <c r="BW8" s="14">
        <f>BW7/BNP!AA4</f>
        <v>83189.26428436289</v>
      </c>
      <c r="BX8" s="14">
        <f>BX7/BNP!AB4</f>
        <v>84536.92610182197</v>
      </c>
      <c r="BY8" s="14">
        <f>BY7/BNP!AC4</f>
        <v>86168.59457070766</v>
      </c>
      <c r="BZ8" s="14">
        <f>BZ7/BNP!AD4</f>
        <v>88237.34610326185</v>
      </c>
      <c r="CA8" s="14">
        <f>CA7/BNP!AE4</f>
        <v>90382.92576066992</v>
      </c>
      <c r="CB8" s="14">
        <f>CB7/BNP!AF4</f>
        <v>91399.55534340457</v>
      </c>
      <c r="CC8" s="14">
        <f>CC7/BNP!AG4</f>
        <v>97600.61165791815</v>
      </c>
      <c r="CD8" s="14">
        <f>CD7/BNP!AH4</f>
        <v>103543.70106002745</v>
      </c>
      <c r="CE8" s="14">
        <f>CE7/BNP!AI4</f>
        <v>105865.43888309303</v>
      </c>
      <c r="CF8" s="14">
        <f>CF7/BNP!AJ4</f>
        <v>107084.68818120069</v>
      </c>
      <c r="CG8" s="14">
        <f>CG7/BNP!AK4</f>
        <v>111212.89177393206</v>
      </c>
      <c r="CH8" s="14">
        <f>CH7/BNP!AL4</f>
        <v>112177.35089587184</v>
      </c>
      <c r="CI8" s="14">
        <f>CI7/BNP!AM4</f>
        <v>114008.24040932335</v>
      </c>
      <c r="CJ8" s="14">
        <f>CJ7/BNP!AN4</f>
        <v>111915</v>
      </c>
      <c r="CK8" s="14">
        <f>CK7/BNP!AO4</f>
        <v>111456.0100683287</v>
      </c>
      <c r="CL8" s="14">
        <f>CL7/BNP!AP4</f>
        <v>108327.4783998694</v>
      </c>
      <c r="CM8" s="14">
        <f>CM7/BNP!AQ4</f>
        <v>110265.26968422624</v>
      </c>
      <c r="CN8" s="14">
        <f>CN7/BNP!AR4</f>
        <v>119079.37395430174</v>
      </c>
      <c r="CO8" s="14">
        <f>CO7/BNP!AS4</f>
        <v>122932.99517546229</v>
      </c>
    </row>
    <row r="9" spans="1:92" ht="12.75">
      <c r="A9" s="9" t="s">
        <v>189</v>
      </c>
      <c r="C9" s="9" t="s">
        <v>190</v>
      </c>
      <c r="D9" s="9" t="s">
        <v>192</v>
      </c>
      <c r="E9" s="9" t="s">
        <v>191</v>
      </c>
      <c r="AB9" s="14">
        <v>2807</v>
      </c>
      <c r="AC9" s="31">
        <f>AB9+($AL9-$AB9)/10</f>
        <v>2839.5</v>
      </c>
      <c r="AD9" s="31">
        <f aca="true" t="shared" si="1" ref="AD9:AK9">AC9+($AL9-$AB9)/10</f>
        <v>2872</v>
      </c>
      <c r="AE9" s="31">
        <f t="shared" si="1"/>
        <v>2904.5</v>
      </c>
      <c r="AF9" s="31">
        <f t="shared" si="1"/>
        <v>2937</v>
      </c>
      <c r="AG9" s="31">
        <f t="shared" si="1"/>
        <v>2969.5</v>
      </c>
      <c r="AH9" s="31">
        <f t="shared" si="1"/>
        <v>3002</v>
      </c>
      <c r="AI9" s="31">
        <f t="shared" si="1"/>
        <v>3034.5</v>
      </c>
      <c r="AJ9" s="31">
        <f t="shared" si="1"/>
        <v>3067</v>
      </c>
      <c r="AK9" s="31">
        <f t="shared" si="1"/>
        <v>3099.5</v>
      </c>
      <c r="AL9" s="14">
        <v>3132</v>
      </c>
      <c r="AM9" s="31">
        <f>AL9+($AV9-$AL9)/10</f>
        <v>3714.6</v>
      </c>
      <c r="AN9" s="31">
        <f aca="true" t="shared" si="2" ref="AN9:AU9">AM9+($AV9-$AL9)/10</f>
        <v>4297.2</v>
      </c>
      <c r="AO9" s="31">
        <f t="shared" si="2"/>
        <v>4879.8</v>
      </c>
      <c r="AP9" s="31">
        <f t="shared" si="2"/>
        <v>5462.400000000001</v>
      </c>
      <c r="AQ9" s="31">
        <f t="shared" si="2"/>
        <v>6045.000000000001</v>
      </c>
      <c r="AR9" s="31">
        <f t="shared" si="2"/>
        <v>6627.600000000001</v>
      </c>
      <c r="AS9" s="31">
        <f t="shared" si="2"/>
        <v>7210.200000000002</v>
      </c>
      <c r="AT9" s="31">
        <f t="shared" si="2"/>
        <v>7792.800000000002</v>
      </c>
      <c r="AU9" s="31">
        <f t="shared" si="2"/>
        <v>8375.400000000001</v>
      </c>
      <c r="AV9" s="14">
        <v>8958</v>
      </c>
      <c r="AW9" s="31">
        <f>AV9+($BF9-$AV9)/10</f>
        <v>10156.9</v>
      </c>
      <c r="AX9" s="31">
        <f aca="true" t="shared" si="3" ref="AX9:BE9">AW9+($BF9-$AV9)/10</f>
        <v>11355.8</v>
      </c>
      <c r="AY9" s="31">
        <f t="shared" si="3"/>
        <v>12554.699999999999</v>
      </c>
      <c r="AZ9" s="31">
        <f t="shared" si="3"/>
        <v>13753.599999999999</v>
      </c>
      <c r="BA9" s="31">
        <f t="shared" si="3"/>
        <v>14952.499999999998</v>
      </c>
      <c r="BB9" s="31">
        <f t="shared" si="3"/>
        <v>16151.399999999998</v>
      </c>
      <c r="BC9" s="31">
        <f t="shared" si="3"/>
        <v>17350.3</v>
      </c>
      <c r="BD9" s="31">
        <f t="shared" si="3"/>
        <v>18549.2</v>
      </c>
      <c r="BE9" s="31">
        <f t="shared" si="3"/>
        <v>19748.100000000002</v>
      </c>
      <c r="BF9" s="14">
        <v>20947</v>
      </c>
      <c r="BG9" s="32"/>
      <c r="BH9" s="32"/>
      <c r="BI9" s="32"/>
      <c r="BJ9" s="32"/>
      <c r="BK9" s="32"/>
      <c r="BL9" s="32"/>
      <c r="BM9" s="32"/>
      <c r="BN9" s="32"/>
      <c r="BO9" s="32"/>
      <c r="BP9" s="32"/>
      <c r="BQ9" s="32"/>
      <c r="BR9" s="32"/>
      <c r="BS9" s="32"/>
      <c r="BT9" s="32"/>
      <c r="BU9" s="32"/>
      <c r="BV9" s="32"/>
      <c r="BW9" s="32"/>
      <c r="BX9" s="32"/>
      <c r="BY9" s="32"/>
      <c r="BZ9" s="32"/>
      <c r="CA9" s="32"/>
      <c r="CB9" s="32"/>
      <c r="CC9" s="32"/>
      <c r="CD9" s="32"/>
      <c r="CE9" s="8"/>
      <c r="CF9" s="8"/>
      <c r="CG9" s="8"/>
      <c r="CH9" s="8"/>
      <c r="CI9" s="8"/>
      <c r="CJ9" s="8"/>
      <c r="CK9" s="8"/>
      <c r="CL9" s="8"/>
      <c r="CM9" s="8"/>
      <c r="CN9" s="8"/>
    </row>
    <row r="10" spans="1:93" ht="12.75">
      <c r="A10" s="9" t="s">
        <v>185</v>
      </c>
      <c r="D10" s="9" t="s">
        <v>193</v>
      </c>
      <c r="E10" s="9" t="s">
        <v>188</v>
      </c>
      <c r="F10" s="14">
        <f aca="true" t="shared" si="4" ref="F10:Z10">G10*(2-($AL10/$AB10)^(1/10))</f>
        <v>7041.733678350299</v>
      </c>
      <c r="G10" s="14">
        <f t="shared" si="4"/>
        <v>7120.167880200058</v>
      </c>
      <c r="H10" s="14">
        <f t="shared" si="4"/>
        <v>7199.475719750533</v>
      </c>
      <c r="I10" s="14">
        <f t="shared" si="4"/>
        <v>7279.666927996803</v>
      </c>
      <c r="J10" s="14">
        <f t="shared" si="4"/>
        <v>7360.751344322426</v>
      </c>
      <c r="K10" s="14">
        <f t="shared" si="4"/>
        <v>7442.738917706731</v>
      </c>
      <c r="L10" s="14">
        <f t="shared" si="4"/>
        <v>7525.639707945539</v>
      </c>
      <c r="M10" s="14">
        <f t="shared" si="4"/>
        <v>7609.463886885497</v>
      </c>
      <c r="N10" s="14">
        <f t="shared" si="4"/>
        <v>7694.221739672151</v>
      </c>
      <c r="O10" s="14">
        <f t="shared" si="4"/>
        <v>7779.92366601192</v>
      </c>
      <c r="P10" s="14">
        <f t="shared" si="4"/>
        <v>7866.580181448138</v>
      </c>
      <c r="Q10" s="14">
        <f t="shared" si="4"/>
        <v>7954.201918651294</v>
      </c>
      <c r="R10" s="14">
        <f t="shared" si="4"/>
        <v>8042.799628723653</v>
      </c>
      <c r="S10" s="14">
        <f t="shared" si="4"/>
        <v>8132.384182518404</v>
      </c>
      <c r="T10" s="14">
        <f t="shared" si="4"/>
        <v>8222.966571973506</v>
      </c>
      <c r="U10" s="14">
        <f t="shared" si="4"/>
        <v>8314.557911460388</v>
      </c>
      <c r="V10" s="14">
        <f t="shared" si="4"/>
        <v>8407.169439147669</v>
      </c>
      <c r="W10" s="14">
        <f t="shared" si="4"/>
        <v>8500.812518380071</v>
      </c>
      <c r="X10" s="14">
        <f t="shared" si="4"/>
        <v>8595.498639072694</v>
      </c>
      <c r="Y10" s="14">
        <f t="shared" si="4"/>
        <v>8691.239419120811</v>
      </c>
      <c r="Z10" s="14">
        <f t="shared" si="4"/>
        <v>8788.04660582538</v>
      </c>
      <c r="AA10" s="14">
        <f>AB10*(2-($AL10/$AB10)^(1/10))</f>
        <v>8885.93207733442</v>
      </c>
      <c r="AB10" s="14">
        <f aca="true" t="shared" si="5" ref="AB10:AZ10">AC10/AC9*AB9</f>
        <v>8984.907844100451</v>
      </c>
      <c r="AC10" s="14">
        <f t="shared" si="5"/>
        <v>9088.936880414403</v>
      </c>
      <c r="AD10" s="14">
        <f t="shared" si="5"/>
        <v>9192.965916728355</v>
      </c>
      <c r="AE10" s="14">
        <f t="shared" si="5"/>
        <v>9296.994953042307</v>
      </c>
      <c r="AF10" s="14">
        <f t="shared" si="5"/>
        <v>9401.023989356261</v>
      </c>
      <c r="AG10" s="14">
        <f t="shared" si="5"/>
        <v>9505.053025670215</v>
      </c>
      <c r="AH10" s="14">
        <f t="shared" si="5"/>
        <v>9609.082061984169</v>
      </c>
      <c r="AI10" s="14">
        <f t="shared" si="5"/>
        <v>9713.11109829812</v>
      </c>
      <c r="AJ10" s="14">
        <f t="shared" si="5"/>
        <v>9817.140134612073</v>
      </c>
      <c r="AK10" s="14">
        <f t="shared" si="5"/>
        <v>9921.169170926025</v>
      </c>
      <c r="AL10" s="14">
        <f t="shared" si="5"/>
        <v>10025.198207239977</v>
      </c>
      <c r="AM10" s="14">
        <f t="shared" si="5"/>
        <v>11890.038716671015</v>
      </c>
      <c r="AN10" s="14">
        <f t="shared" si="5"/>
        <v>13754.879226102052</v>
      </c>
      <c r="AO10" s="14">
        <f t="shared" si="5"/>
        <v>15619.719735533092</v>
      </c>
      <c r="AP10" s="14">
        <f t="shared" si="5"/>
        <v>17484.56024496413</v>
      </c>
      <c r="AQ10" s="14">
        <f t="shared" si="5"/>
        <v>19349.40075439517</v>
      </c>
      <c r="AR10" s="14">
        <f t="shared" si="5"/>
        <v>21214.24126382621</v>
      </c>
      <c r="AS10" s="14">
        <f t="shared" si="5"/>
        <v>23079.08177325725</v>
      </c>
      <c r="AT10" s="14">
        <f t="shared" si="5"/>
        <v>24943.92228268829</v>
      </c>
      <c r="AU10" s="14">
        <f t="shared" si="5"/>
        <v>26808.762792119327</v>
      </c>
      <c r="AV10" s="14">
        <f t="shared" si="5"/>
        <v>28673.60330155036</v>
      </c>
      <c r="AW10" s="14">
        <f t="shared" si="5"/>
        <v>32511.154428836442</v>
      </c>
      <c r="AX10" s="14">
        <f t="shared" si="5"/>
        <v>36348.70555612252</v>
      </c>
      <c r="AY10" s="14">
        <f t="shared" si="5"/>
        <v>40186.256683408596</v>
      </c>
      <c r="AZ10" s="14">
        <f t="shared" si="5"/>
        <v>44023.80781069467</v>
      </c>
      <c r="BA10" s="14">
        <f>BB10/BB9*BA9</f>
        <v>47861.35893798075</v>
      </c>
      <c r="BB10" s="14">
        <f>BB8</f>
        <v>51698.910065266835</v>
      </c>
      <c r="BC10" s="14">
        <f aca="true" t="shared" si="6" ref="BC10:CO10">BC8</f>
        <v>54434.386060611294</v>
      </c>
      <c r="BD10" s="14">
        <f t="shared" si="6"/>
        <v>53869.95498857991</v>
      </c>
      <c r="BE10" s="14">
        <f t="shared" si="6"/>
        <v>58799.36492391346</v>
      </c>
      <c r="BF10" s="14">
        <f t="shared" si="6"/>
        <v>59282.760634262304</v>
      </c>
      <c r="BG10" s="14">
        <f t="shared" si="6"/>
        <v>58236.35046078814</v>
      </c>
      <c r="BH10" s="14">
        <f t="shared" si="6"/>
        <v>58982.020334749475</v>
      </c>
      <c r="BI10" s="14">
        <f t="shared" si="6"/>
        <v>60599.15043513794</v>
      </c>
      <c r="BJ10" s="14">
        <f t="shared" si="6"/>
        <v>64109.34037656656</v>
      </c>
      <c r="BK10" s="14">
        <f t="shared" si="6"/>
        <v>68693.26164630176</v>
      </c>
      <c r="BL10" s="14">
        <f t="shared" si="6"/>
        <v>68477.19336997307</v>
      </c>
      <c r="BM10" s="14">
        <f t="shared" si="6"/>
        <v>69440.51801446754</v>
      </c>
      <c r="BN10" s="14">
        <f t="shared" si="6"/>
        <v>68165.33122451659</v>
      </c>
      <c r="BO10" s="14">
        <f t="shared" si="6"/>
        <v>68280.75254686324</v>
      </c>
      <c r="BP10" s="14">
        <f t="shared" si="6"/>
        <v>67337.91004763995</v>
      </c>
      <c r="BQ10" s="14">
        <f t="shared" si="6"/>
        <v>68181.71623782128</v>
      </c>
      <c r="BR10" s="14">
        <f t="shared" si="6"/>
        <v>72107.78323079551</v>
      </c>
      <c r="BS10" s="14">
        <f t="shared" si="6"/>
        <v>75428.92655986929</v>
      </c>
      <c r="BT10" s="14">
        <f t="shared" si="6"/>
        <v>76682.44135798844</v>
      </c>
      <c r="BU10" s="14">
        <f t="shared" si="6"/>
        <v>76136.94765578833</v>
      </c>
      <c r="BV10" s="14">
        <f t="shared" si="6"/>
        <v>75566.73003847915</v>
      </c>
      <c r="BW10" s="14">
        <f t="shared" si="6"/>
        <v>83189.26428436289</v>
      </c>
      <c r="BX10" s="14">
        <f t="shared" si="6"/>
        <v>84536.92610182197</v>
      </c>
      <c r="BY10" s="14">
        <f t="shared" si="6"/>
        <v>86168.59457070766</v>
      </c>
      <c r="BZ10" s="14">
        <f t="shared" si="6"/>
        <v>88237.34610326185</v>
      </c>
      <c r="CA10" s="14">
        <f t="shared" si="6"/>
        <v>90382.92576066992</v>
      </c>
      <c r="CB10" s="14">
        <f t="shared" si="6"/>
        <v>91399.55534340457</v>
      </c>
      <c r="CC10" s="14">
        <f t="shared" si="6"/>
        <v>97600.61165791815</v>
      </c>
      <c r="CD10" s="14">
        <f t="shared" si="6"/>
        <v>103543.70106002745</v>
      </c>
      <c r="CE10" s="14">
        <f t="shared" si="6"/>
        <v>105865.43888309303</v>
      </c>
      <c r="CF10" s="14">
        <f t="shared" si="6"/>
        <v>107084.68818120069</v>
      </c>
      <c r="CG10" s="14">
        <f t="shared" si="6"/>
        <v>111212.89177393206</v>
      </c>
      <c r="CH10" s="14">
        <f t="shared" si="6"/>
        <v>112177.35089587184</v>
      </c>
      <c r="CI10" s="14">
        <f t="shared" si="6"/>
        <v>114008.24040932335</v>
      </c>
      <c r="CJ10" s="14">
        <f t="shared" si="6"/>
        <v>111915</v>
      </c>
      <c r="CK10" s="14">
        <f t="shared" si="6"/>
        <v>111456.0100683287</v>
      </c>
      <c r="CL10" s="14">
        <f t="shared" si="6"/>
        <v>108327.4783998694</v>
      </c>
      <c r="CM10" s="14">
        <f t="shared" si="6"/>
        <v>110265.26968422624</v>
      </c>
      <c r="CN10" s="14">
        <f t="shared" si="6"/>
        <v>119079.37395430174</v>
      </c>
      <c r="CO10" s="14">
        <f t="shared" si="6"/>
        <v>122932.99517546229</v>
      </c>
    </row>
    <row r="11" spans="1:93" ht="12.75">
      <c r="A11" s="9" t="s">
        <v>194</v>
      </c>
      <c r="D11" s="9" t="s">
        <v>195</v>
      </c>
      <c r="E11" s="9" t="s">
        <v>25</v>
      </c>
      <c r="BT11" s="14">
        <v>1401.4358303108945</v>
      </c>
      <c r="BU11" s="14">
        <v>1449.1314477895319</v>
      </c>
      <c r="BV11" s="14">
        <v>1495.2255758004499</v>
      </c>
      <c r="BW11" s="14">
        <v>1547.9206475772776</v>
      </c>
      <c r="BX11" s="14">
        <v>1600.829205222839</v>
      </c>
      <c r="BY11" s="14">
        <v>1654.216337916781</v>
      </c>
      <c r="BZ11" s="14">
        <v>1708.495985677212</v>
      </c>
      <c r="CA11" s="14">
        <v>1763.7153234355649</v>
      </c>
      <c r="CB11" s="14">
        <v>1818.7146148654176</v>
      </c>
      <c r="CC11" s="14">
        <v>1878.6643642298368</v>
      </c>
      <c r="CD11" s="14">
        <v>1943.2153165796733</v>
      </c>
      <c r="CE11" s="14">
        <v>2008.6586966422185</v>
      </c>
      <c r="CF11" s="14">
        <v>2073.858656470011</v>
      </c>
      <c r="CG11" s="14">
        <v>2141.707260394078</v>
      </c>
      <c r="CH11" s="14">
        <v>2208.9804713185144</v>
      </c>
      <c r="CI11" s="14">
        <v>2276.531661805458</v>
      </c>
      <c r="CJ11" s="14">
        <v>2340.410727198938</v>
      </c>
      <c r="CK11" s="14">
        <v>2402.284527405692</v>
      </c>
      <c r="CL11" s="14">
        <v>2459.4917535465397</v>
      </c>
      <c r="CM11" s="14">
        <v>2517.1468207347048</v>
      </c>
      <c r="CN11" s="14">
        <v>2582.098532923615</v>
      </c>
      <c r="CO11" s="14">
        <v>2649.256282236147</v>
      </c>
    </row>
    <row r="12" spans="1:93" ht="12.75">
      <c r="A12" s="9" t="s">
        <v>196</v>
      </c>
      <c r="E12" s="9" t="s">
        <v>25</v>
      </c>
      <c r="BU12" s="30">
        <f>BU11-BT11</f>
        <v>47.69561747863736</v>
      </c>
      <c r="BV12" s="30">
        <f aca="true" t="shared" si="7" ref="BV12:CO12">BV11-BU11</f>
        <v>46.094128010917984</v>
      </c>
      <c r="BW12" s="30">
        <f t="shared" si="7"/>
        <v>52.69507177682772</v>
      </c>
      <c r="BX12" s="30">
        <f t="shared" si="7"/>
        <v>52.90855764556136</v>
      </c>
      <c r="BY12" s="30">
        <f t="shared" si="7"/>
        <v>53.38713269394202</v>
      </c>
      <c r="BZ12" s="30">
        <f t="shared" si="7"/>
        <v>54.27964776043109</v>
      </c>
      <c r="CA12" s="30">
        <f t="shared" si="7"/>
        <v>55.21933775835282</v>
      </c>
      <c r="CB12" s="30">
        <f t="shared" si="7"/>
        <v>54.99929142985275</v>
      </c>
      <c r="CC12" s="30">
        <f t="shared" si="7"/>
        <v>59.949749364419176</v>
      </c>
      <c r="CD12" s="30">
        <f t="shared" si="7"/>
        <v>64.5509523498365</v>
      </c>
      <c r="CE12" s="30">
        <f t="shared" si="7"/>
        <v>65.4433800625452</v>
      </c>
      <c r="CF12" s="30">
        <f t="shared" si="7"/>
        <v>65.19995982779233</v>
      </c>
      <c r="CG12" s="30">
        <f t="shared" si="7"/>
        <v>67.84860392406699</v>
      </c>
      <c r="CH12" s="30">
        <f t="shared" si="7"/>
        <v>67.27321092443663</v>
      </c>
      <c r="CI12" s="30">
        <f t="shared" si="7"/>
        <v>67.5511904869436</v>
      </c>
      <c r="CJ12" s="30">
        <f t="shared" si="7"/>
        <v>63.87906539347978</v>
      </c>
      <c r="CK12" s="30">
        <f t="shared" si="7"/>
        <v>61.87380020675437</v>
      </c>
      <c r="CL12" s="30">
        <f t="shared" si="7"/>
        <v>57.207226140847524</v>
      </c>
      <c r="CM12" s="30">
        <f t="shared" si="7"/>
        <v>57.65506718816505</v>
      </c>
      <c r="CN12" s="30">
        <f t="shared" si="7"/>
        <v>64.95171218891028</v>
      </c>
      <c r="CO12" s="30">
        <f t="shared" si="7"/>
        <v>67.1577493125319</v>
      </c>
    </row>
    <row r="14" spans="1:92" ht="12.75">
      <c r="A14" s="9" t="s">
        <v>198</v>
      </c>
      <c r="BU14" s="32"/>
      <c r="BV14" s="32"/>
      <c r="BW14" s="32"/>
      <c r="BX14" s="32"/>
      <c r="BY14" s="32"/>
      <c r="BZ14" s="32"/>
      <c r="CA14" s="32"/>
      <c r="CB14" s="32"/>
      <c r="CC14" s="32"/>
      <c r="CD14" s="32"/>
      <c r="CE14" s="32"/>
      <c r="CF14" s="32"/>
      <c r="CG14" s="32"/>
      <c r="CH14" s="32"/>
      <c r="CI14" s="32"/>
      <c r="CJ14" s="32"/>
      <c r="CK14" s="32"/>
      <c r="CL14" s="32"/>
      <c r="CM14" s="32"/>
      <c r="CN14" s="32"/>
    </row>
    <row r="15" spans="1:93" ht="12.75">
      <c r="A15" s="9" t="s">
        <v>201</v>
      </c>
      <c r="C15" s="9" t="s">
        <v>199</v>
      </c>
      <c r="E15" s="9" t="s">
        <v>200</v>
      </c>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4">
        <v>421777</v>
      </c>
      <c r="BW15" s="14">
        <v>422690</v>
      </c>
      <c r="BX15" s="14">
        <v>429882</v>
      </c>
      <c r="BY15" s="14">
        <v>427324</v>
      </c>
      <c r="BZ15" s="14">
        <v>436008</v>
      </c>
      <c r="CA15" s="14">
        <v>445032</v>
      </c>
      <c r="CB15" s="14">
        <v>452461</v>
      </c>
      <c r="CC15" s="14">
        <v>457182</v>
      </c>
      <c r="CD15" s="14">
        <v>463168</v>
      </c>
      <c r="CE15" s="14">
        <v>465517</v>
      </c>
      <c r="CF15" s="14">
        <v>468017</v>
      </c>
      <c r="CG15" s="14">
        <v>469995</v>
      </c>
      <c r="CH15" s="14">
        <v>471761</v>
      </c>
      <c r="CI15" s="14">
        <v>480232</v>
      </c>
      <c r="CJ15" s="14">
        <v>477890</v>
      </c>
      <c r="CK15" s="14">
        <v>482108</v>
      </c>
      <c r="CL15" s="14">
        <v>488879</v>
      </c>
      <c r="CM15" s="14">
        <v>493925</v>
      </c>
      <c r="CN15" s="14">
        <v>516586</v>
      </c>
      <c r="CO15" s="14">
        <v>537359</v>
      </c>
    </row>
    <row r="16" spans="1:92" ht="12.75">
      <c r="A16" s="9" t="s">
        <v>202</v>
      </c>
      <c r="C16" s="9" t="s">
        <v>203</v>
      </c>
      <c r="D16" s="9" t="s">
        <v>204</v>
      </c>
      <c r="E16" s="9" t="s">
        <v>205</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32"/>
      <c r="BX16" s="32"/>
      <c r="BY16" s="32"/>
      <c r="BZ16" s="32"/>
      <c r="CA16" s="32"/>
      <c r="CB16" s="32"/>
      <c r="CC16" s="32"/>
      <c r="CD16" s="32"/>
      <c r="CE16" s="32"/>
      <c r="CF16" s="32"/>
      <c r="CG16" s="32"/>
      <c r="CH16" s="32"/>
      <c r="CI16" s="32"/>
      <c r="CJ16" s="14">
        <v>309631.46919440315</v>
      </c>
      <c r="CK16" s="32"/>
      <c r="CL16" s="32"/>
      <c r="CM16" s="32"/>
      <c r="CN16" s="32"/>
    </row>
    <row r="17" spans="1:93" ht="12.75">
      <c r="A17" s="9" t="s">
        <v>209</v>
      </c>
      <c r="C17" s="9" t="s">
        <v>210</v>
      </c>
      <c r="D17" s="9" t="s">
        <v>212</v>
      </c>
      <c r="E17" s="9" t="s">
        <v>211</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4">
        <v>170511.4</v>
      </c>
      <c r="AZ17" s="14">
        <v>175176.7</v>
      </c>
      <c r="BA17" s="14">
        <v>178083.9</v>
      </c>
      <c r="BB17" s="14">
        <v>186910.7</v>
      </c>
      <c r="BC17" s="14">
        <v>185945.1</v>
      </c>
      <c r="BD17" s="14">
        <v>193724.6</v>
      </c>
      <c r="BE17" s="14">
        <v>206842.8</v>
      </c>
      <c r="BF17" s="14">
        <v>208777.1</v>
      </c>
      <c r="BG17" s="14">
        <v>216124.5</v>
      </c>
      <c r="BH17" s="14">
        <v>215680.8</v>
      </c>
      <c r="BI17" s="14">
        <v>215820</v>
      </c>
      <c r="BJ17" s="14">
        <v>223184.6</v>
      </c>
      <c r="BK17" s="14">
        <v>231954.5</v>
      </c>
      <c r="BL17" s="14">
        <v>226503</v>
      </c>
      <c r="BM17" s="14">
        <v>228653.7</v>
      </c>
      <c r="BN17" s="14">
        <v>225757.5</v>
      </c>
      <c r="BO17" s="14">
        <v>221527.4</v>
      </c>
      <c r="BP17" s="14">
        <v>220391</v>
      </c>
      <c r="BQ17" s="14">
        <v>225617.7</v>
      </c>
      <c r="BR17" s="14">
        <v>229787.6</v>
      </c>
      <c r="BS17" s="14">
        <v>233146.5</v>
      </c>
      <c r="BT17" s="14">
        <v>229468.2</v>
      </c>
      <c r="BU17" s="14">
        <v>232197</v>
      </c>
      <c r="BV17" s="14">
        <v>235371.9</v>
      </c>
      <c r="BW17" s="14">
        <v>242244.4</v>
      </c>
      <c r="BX17" s="14">
        <v>246891.6</v>
      </c>
      <c r="BY17" s="14">
        <v>249542.6</v>
      </c>
      <c r="BZ17" s="14">
        <v>254456.9</v>
      </c>
      <c r="CA17" s="14">
        <v>257262.2</v>
      </c>
      <c r="CB17" s="14">
        <v>263955.5</v>
      </c>
      <c r="CC17" s="14">
        <v>275032.4</v>
      </c>
      <c r="CD17" s="14">
        <v>283414.1</v>
      </c>
      <c r="CE17" s="14">
        <v>287116.3</v>
      </c>
      <c r="CF17" s="14">
        <v>292595.2</v>
      </c>
      <c r="CG17" s="14">
        <v>295797.5</v>
      </c>
      <c r="CH17" s="14">
        <v>302698.3</v>
      </c>
      <c r="CI17" s="14">
        <v>305654.1</v>
      </c>
      <c r="CJ17" s="14">
        <v>305104.6</v>
      </c>
      <c r="CK17" s="14">
        <v>309413.2</v>
      </c>
      <c r="CL17" s="14">
        <v>311453.8</v>
      </c>
      <c r="CM17" s="14">
        <v>312712.4</v>
      </c>
      <c r="CN17" s="14">
        <v>318446.9</v>
      </c>
      <c r="CO17" s="14">
        <v>316304.1</v>
      </c>
    </row>
    <row r="18" spans="1:93" ht="12.75">
      <c r="A18" s="9" t="s">
        <v>202</v>
      </c>
      <c r="D18" s="9" t="s">
        <v>213</v>
      </c>
      <c r="E18" s="9" t="s">
        <v>173</v>
      </c>
      <c r="F18" s="14">
        <f aca="true" t="shared" si="8" ref="F18:AW18">G18*0.98</f>
        <v>69714.50762735779</v>
      </c>
      <c r="G18" s="14">
        <f t="shared" si="8"/>
        <v>71137.25268097734</v>
      </c>
      <c r="H18" s="14">
        <f t="shared" si="8"/>
        <v>72589.03334793607</v>
      </c>
      <c r="I18" s="14">
        <f t="shared" si="8"/>
        <v>74070.44219177151</v>
      </c>
      <c r="J18" s="14">
        <f t="shared" si="8"/>
        <v>75582.08386915461</v>
      </c>
      <c r="K18" s="14">
        <f t="shared" si="8"/>
        <v>77124.57537668837</v>
      </c>
      <c r="L18" s="14">
        <f t="shared" si="8"/>
        <v>78698.54630274324</v>
      </c>
      <c r="M18" s="14">
        <f t="shared" si="8"/>
        <v>80304.63908443188</v>
      </c>
      <c r="N18" s="14">
        <f t="shared" si="8"/>
        <v>81943.50926982846</v>
      </c>
      <c r="O18" s="14">
        <f t="shared" si="8"/>
        <v>83615.82578553924</v>
      </c>
      <c r="P18" s="14">
        <f t="shared" si="8"/>
        <v>85322.27120973392</v>
      </c>
      <c r="Q18" s="14">
        <f t="shared" si="8"/>
        <v>87063.5420507489</v>
      </c>
      <c r="R18" s="14">
        <f t="shared" si="8"/>
        <v>88840.34903137643</v>
      </c>
      <c r="S18" s="14">
        <f t="shared" si="8"/>
        <v>90653.41737895555</v>
      </c>
      <c r="T18" s="14">
        <f t="shared" si="8"/>
        <v>92503.48712138322</v>
      </c>
      <c r="U18" s="14">
        <f t="shared" si="8"/>
        <v>94391.31338916655</v>
      </c>
      <c r="V18" s="14">
        <f t="shared" si="8"/>
        <v>96317.66672363934</v>
      </c>
      <c r="W18" s="14">
        <f t="shared" si="8"/>
        <v>98283.33339146871</v>
      </c>
      <c r="X18" s="14">
        <f t="shared" si="8"/>
        <v>100289.11570558032</v>
      </c>
      <c r="Y18" s="14">
        <f t="shared" si="8"/>
        <v>102335.83235263298</v>
      </c>
      <c r="Z18" s="14">
        <f t="shared" si="8"/>
        <v>104424.3187271765</v>
      </c>
      <c r="AA18" s="14">
        <f t="shared" si="8"/>
        <v>106555.4272726291</v>
      </c>
      <c r="AB18" s="14">
        <f t="shared" si="8"/>
        <v>108730.02782921336</v>
      </c>
      <c r="AC18" s="14">
        <f t="shared" si="8"/>
        <v>110949.00798899322</v>
      </c>
      <c r="AD18" s="14">
        <f t="shared" si="8"/>
        <v>113213.27345815636</v>
      </c>
      <c r="AE18" s="14">
        <f t="shared" si="8"/>
        <v>115523.74842669016</v>
      </c>
      <c r="AF18" s="14">
        <f t="shared" si="8"/>
        <v>117881.37594560221</v>
      </c>
      <c r="AG18" s="14">
        <f t="shared" si="8"/>
        <v>120287.11831183899</v>
      </c>
      <c r="AH18" s="14">
        <f t="shared" si="8"/>
        <v>122741.9574610602</v>
      </c>
      <c r="AI18" s="14">
        <f t="shared" si="8"/>
        <v>125246.89536842878</v>
      </c>
      <c r="AJ18" s="14">
        <f t="shared" si="8"/>
        <v>127802.95445758039</v>
      </c>
      <c r="AK18" s="14">
        <f t="shared" si="8"/>
        <v>130411.17801793918</v>
      </c>
      <c r="AL18" s="14">
        <f t="shared" si="8"/>
        <v>133072.63063055018</v>
      </c>
      <c r="AM18" s="14">
        <f t="shared" si="8"/>
        <v>135788.39860260222</v>
      </c>
      <c r="AN18" s="14">
        <f t="shared" si="8"/>
        <v>138559.59041081858</v>
      </c>
      <c r="AO18" s="14">
        <f t="shared" si="8"/>
        <v>141387.33715389651</v>
      </c>
      <c r="AP18" s="14">
        <f t="shared" si="8"/>
        <v>144272.79301418012</v>
      </c>
      <c r="AQ18" s="14">
        <f t="shared" si="8"/>
        <v>147217.13572875524</v>
      </c>
      <c r="AR18" s="14">
        <f t="shared" si="8"/>
        <v>150221.5670701584</v>
      </c>
      <c r="AS18" s="14">
        <f t="shared" si="8"/>
        <v>153287.31333689633</v>
      </c>
      <c r="AT18" s="14">
        <f t="shared" si="8"/>
        <v>156415.62585397586</v>
      </c>
      <c r="AU18" s="14">
        <f t="shared" si="8"/>
        <v>159607.78148364884</v>
      </c>
      <c r="AV18" s="14">
        <f t="shared" si="8"/>
        <v>162865.08314658047</v>
      </c>
      <c r="AW18" s="14">
        <f t="shared" si="8"/>
        <v>166188.86035365355</v>
      </c>
      <c r="AX18" s="14">
        <f>AY18*0.98</f>
        <v>169580.46974862608</v>
      </c>
      <c r="AY18" s="14">
        <f aca="true" t="shared" si="9" ref="AY18:CG18">AZ18/AZ17*AY17</f>
        <v>173041.29566186335</v>
      </c>
      <c r="AZ18" s="14">
        <f t="shared" si="9"/>
        <v>177775.81521100373</v>
      </c>
      <c r="BA18" s="14">
        <f t="shared" si="9"/>
        <v>180726.14964464374</v>
      </c>
      <c r="BB18" s="14">
        <f t="shared" si="9"/>
        <v>189683.91380908166</v>
      </c>
      <c r="BC18" s="14">
        <f t="shared" si="9"/>
        <v>188703.98709983466</v>
      </c>
      <c r="BD18" s="14">
        <f t="shared" si="9"/>
        <v>196598.91236349134</v>
      </c>
      <c r="BE18" s="14">
        <f t="shared" si="9"/>
        <v>209911.7484832549</v>
      </c>
      <c r="BF18" s="14">
        <f t="shared" si="9"/>
        <v>211874.74789677648</v>
      </c>
      <c r="BG18" s="14">
        <f t="shared" si="9"/>
        <v>219331.16204706774</v>
      </c>
      <c r="BH18" s="14">
        <f t="shared" si="9"/>
        <v>218880.87882327643</v>
      </c>
      <c r="BI18" s="14">
        <f t="shared" si="9"/>
        <v>219022.14414838745</v>
      </c>
      <c r="BJ18" s="14">
        <f t="shared" si="9"/>
        <v>226496.01349689646</v>
      </c>
      <c r="BK18" s="14">
        <f t="shared" si="9"/>
        <v>235396.033430021</v>
      </c>
      <c r="BL18" s="14">
        <f t="shared" si="9"/>
        <v>229863.6489483931</v>
      </c>
      <c r="BM18" s="14">
        <f t="shared" si="9"/>
        <v>232046.25911158437</v>
      </c>
      <c r="BN18" s="14">
        <f t="shared" si="9"/>
        <v>229107.08788610683</v>
      </c>
      <c r="BO18" s="14">
        <f t="shared" si="9"/>
        <v>224814.22544535948</v>
      </c>
      <c r="BP18" s="14">
        <f t="shared" si="9"/>
        <v>223660.96455846194</v>
      </c>
      <c r="BQ18" s="14">
        <f t="shared" si="9"/>
        <v>228965.21365873245</v>
      </c>
      <c r="BR18" s="14">
        <f t="shared" si="9"/>
        <v>233196.9829057177</v>
      </c>
      <c r="BS18" s="14">
        <f t="shared" si="9"/>
        <v>236605.71925999448</v>
      </c>
      <c r="BT18" s="14">
        <f t="shared" si="9"/>
        <v>232872.84393416272</v>
      </c>
      <c r="BU18" s="14">
        <f t="shared" si="9"/>
        <v>235642.131428149</v>
      </c>
      <c r="BV18" s="14">
        <f t="shared" si="9"/>
        <v>238864.1377549802</v>
      </c>
      <c r="BW18" s="14">
        <f t="shared" si="9"/>
        <v>245838.6057637829</v>
      </c>
      <c r="BX18" s="14">
        <f t="shared" si="9"/>
        <v>250554.75676131042</v>
      </c>
      <c r="BY18" s="14">
        <f t="shared" si="9"/>
        <v>253245.0899284746</v>
      </c>
      <c r="BZ18" s="14">
        <f t="shared" si="9"/>
        <v>258232.30391692987</v>
      </c>
      <c r="CA18" s="14">
        <f t="shared" si="9"/>
        <v>261079.2264495009</v>
      </c>
      <c r="CB18" s="14">
        <f t="shared" si="9"/>
        <v>267871.83564896527</v>
      </c>
      <c r="CC18" s="14">
        <f t="shared" si="9"/>
        <v>279113.08478489926</v>
      </c>
      <c r="CD18" s="14">
        <f t="shared" si="9"/>
        <v>287619.14495359786</v>
      </c>
      <c r="CE18" s="14">
        <f t="shared" si="9"/>
        <v>291376.27488625544</v>
      </c>
      <c r="CF18" s="14">
        <f t="shared" si="9"/>
        <v>296936.4659045791</v>
      </c>
      <c r="CG18" s="14">
        <f t="shared" si="9"/>
        <v>300186.27876810596</v>
      </c>
      <c r="CH18" s="14">
        <f>CI18/CI17*CH17</f>
        <v>307189.46666699945</v>
      </c>
      <c r="CI18" s="14">
        <f>CJ18/CJ17*CI17</f>
        <v>310189.12218397565</v>
      </c>
      <c r="CJ18" s="14">
        <f>CJ16</f>
        <v>309631.46919440315</v>
      </c>
      <c r="CK18" s="14">
        <f>CJ18*CK17/CJ17</f>
        <v>314003.99634794664</v>
      </c>
      <c r="CL18" s="14">
        <f>CK18*CL17/CK17</f>
        <v>316074.8729458022</v>
      </c>
      <c r="CM18" s="14">
        <f>CL18*CM17/CL17</f>
        <v>317352.14692701417</v>
      </c>
      <c r="CN18" s="14">
        <f>CM18*CN17/CM17</f>
        <v>323171.7303095502</v>
      </c>
      <c r="CO18" s="14">
        <f>CN18*CO17/CN17</f>
        <v>320997.13735949376</v>
      </c>
    </row>
    <row r="19" spans="1:93" ht="12.75">
      <c r="A19" s="9" t="s">
        <v>201</v>
      </c>
      <c r="D19" s="9" t="s">
        <v>206</v>
      </c>
      <c r="E19" s="9" t="s">
        <v>200</v>
      </c>
      <c r="F19" s="14">
        <f aca="true" t="shared" si="10" ref="F19:BQ19">G19/G10*F10</f>
        <v>39303.557321339504</v>
      </c>
      <c r="G19" s="14">
        <f t="shared" si="10"/>
        <v>39741.33916444348</v>
      </c>
      <c r="H19" s="14">
        <f t="shared" si="10"/>
        <v>40183.997231360605</v>
      </c>
      <c r="I19" s="14">
        <f t="shared" si="10"/>
        <v>40631.58583580682</v>
      </c>
      <c r="J19" s="14">
        <f t="shared" si="10"/>
        <v>41084.159896470264</v>
      </c>
      <c r="K19" s="14">
        <f t="shared" si="10"/>
        <v>41541.77494374971</v>
      </c>
      <c r="L19" s="14">
        <f t="shared" si="10"/>
        <v>42004.487126568114</v>
      </c>
      <c r="M19" s="14">
        <f t="shared" si="10"/>
        <v>42472.35321926202</v>
      </c>
      <c r="N19" s="14">
        <f t="shared" si="10"/>
        <v>42945.43062854773</v>
      </c>
      <c r="O19" s="14">
        <f t="shared" si="10"/>
        <v>43423.77740056503</v>
      </c>
      <c r="P19" s="14">
        <f t="shared" si="10"/>
        <v>43907.452227999405</v>
      </c>
      <c r="Q19" s="14">
        <f t="shared" si="10"/>
        <v>44396.5144572836</v>
      </c>
      <c r="R19" s="14">
        <f t="shared" si="10"/>
        <v>44891.02409587933</v>
      </c>
      <c r="S19" s="14">
        <f t="shared" si="10"/>
        <v>45391.041819640144</v>
      </c>
      <c r="T19" s="14">
        <f t="shared" si="10"/>
        <v>45896.62898025633</v>
      </c>
      <c r="U19" s="14">
        <f t="shared" si="10"/>
        <v>46407.84761278267</v>
      </c>
      <c r="V19" s="14">
        <f t="shared" si="10"/>
        <v>46924.7604432501</v>
      </c>
      <c r="W19" s="14">
        <f t="shared" si="10"/>
        <v>47447.430896362115</v>
      </c>
      <c r="X19" s="14">
        <f t="shared" si="10"/>
        <v>47975.92310327693</v>
      </c>
      <c r="Y19" s="14">
        <f t="shared" si="10"/>
        <v>48510.30190947634</v>
      </c>
      <c r="Z19" s="14">
        <f t="shared" si="10"/>
        <v>49050.63288272212</v>
      </c>
      <c r="AA19" s="14">
        <f t="shared" si="10"/>
        <v>49596.982321101226</v>
      </c>
      <c r="AB19" s="14">
        <f t="shared" si="10"/>
        <v>50149.417261160415</v>
      </c>
      <c r="AC19" s="14">
        <f t="shared" si="10"/>
        <v>50730.05711188635</v>
      </c>
      <c r="AD19" s="14">
        <f t="shared" si="10"/>
        <v>51310.69696261229</v>
      </c>
      <c r="AE19" s="14">
        <f t="shared" si="10"/>
        <v>51891.336813338225</v>
      </c>
      <c r="AF19" s="14">
        <f t="shared" si="10"/>
        <v>52471.976664064176</v>
      </c>
      <c r="AG19" s="14">
        <f t="shared" si="10"/>
        <v>53052.61651479012</v>
      </c>
      <c r="AH19" s="14">
        <f t="shared" si="10"/>
        <v>53633.25636551607</v>
      </c>
      <c r="AI19" s="14">
        <f t="shared" si="10"/>
        <v>54213.89621624201</v>
      </c>
      <c r="AJ19" s="14">
        <f t="shared" si="10"/>
        <v>54794.53606696794</v>
      </c>
      <c r="AK19" s="14">
        <f t="shared" si="10"/>
        <v>55375.17591769388</v>
      </c>
      <c r="AL19" s="14">
        <f t="shared" si="10"/>
        <v>55955.815768419816</v>
      </c>
      <c r="AM19" s="14">
        <f t="shared" si="10"/>
        <v>66364.45506174082</v>
      </c>
      <c r="AN19" s="14">
        <f t="shared" si="10"/>
        <v>76773.09435506182</v>
      </c>
      <c r="AO19" s="14">
        <f t="shared" si="10"/>
        <v>87181.73364838284</v>
      </c>
      <c r="AP19" s="14">
        <f t="shared" si="10"/>
        <v>97590.37294170384</v>
      </c>
      <c r="AQ19" s="14">
        <f t="shared" si="10"/>
        <v>107999.01223502486</v>
      </c>
      <c r="AR19" s="14">
        <f t="shared" si="10"/>
        <v>118407.65152834587</v>
      </c>
      <c r="AS19" s="14">
        <f t="shared" si="10"/>
        <v>128816.2908216669</v>
      </c>
      <c r="AT19" s="14">
        <f t="shared" si="10"/>
        <v>139224.93011498792</v>
      </c>
      <c r="AU19" s="14">
        <f t="shared" si="10"/>
        <v>149633.56940830892</v>
      </c>
      <c r="AV19" s="14">
        <f t="shared" si="10"/>
        <v>160042.2087016299</v>
      </c>
      <c r="AW19" s="14">
        <f t="shared" si="10"/>
        <v>181461.5661488708</v>
      </c>
      <c r="AX19" s="14">
        <f t="shared" si="10"/>
        <v>202880.92359611168</v>
      </c>
      <c r="AY19" s="14">
        <f t="shared" si="10"/>
        <v>224300.28104335256</v>
      </c>
      <c r="AZ19" s="14">
        <f t="shared" si="10"/>
        <v>245719.6384905934</v>
      </c>
      <c r="BA19" s="14">
        <f t="shared" si="10"/>
        <v>267138.9959378343</v>
      </c>
      <c r="BB19" s="14">
        <f t="shared" si="10"/>
        <v>288558.3533850752</v>
      </c>
      <c r="BC19" s="14">
        <f t="shared" si="10"/>
        <v>303826.4595781168</v>
      </c>
      <c r="BD19" s="14">
        <f t="shared" si="10"/>
        <v>300676.07786718453</v>
      </c>
      <c r="BE19" s="14">
        <f t="shared" si="10"/>
        <v>328189.6639815563</v>
      </c>
      <c r="BF19" s="14">
        <f t="shared" si="10"/>
        <v>330887.745431157</v>
      </c>
      <c r="BG19" s="14">
        <f t="shared" si="10"/>
        <v>325047.18909753405</v>
      </c>
      <c r="BH19" s="14">
        <f t="shared" si="10"/>
        <v>329209.15829045326</v>
      </c>
      <c r="BI19" s="14">
        <f t="shared" si="10"/>
        <v>338235.19768641796</v>
      </c>
      <c r="BJ19" s="14">
        <f t="shared" si="10"/>
        <v>357827.38305916137</v>
      </c>
      <c r="BK19" s="14">
        <f t="shared" si="10"/>
        <v>383412.6182598986</v>
      </c>
      <c r="BL19" s="14">
        <f t="shared" si="10"/>
        <v>382206.62946908176</v>
      </c>
      <c r="BM19" s="14">
        <f t="shared" si="10"/>
        <v>387583.44249743497</v>
      </c>
      <c r="BN19" s="14">
        <f t="shared" si="10"/>
        <v>380465.96555445663</v>
      </c>
      <c r="BO19" s="14">
        <f t="shared" si="10"/>
        <v>381110.1916451002</v>
      </c>
      <c r="BP19" s="14">
        <f t="shared" si="10"/>
        <v>375847.7000619338</v>
      </c>
      <c r="BQ19" s="14">
        <f t="shared" si="10"/>
        <v>380557.41878728935</v>
      </c>
      <c r="BR19" s="14">
        <f>BS19/BS10*BR10</f>
        <v>402470.8290572915</v>
      </c>
      <c r="BS19" s="14">
        <f>BT19/BT10*BS10</f>
        <v>421007.84752022434</v>
      </c>
      <c r="BT19" s="14">
        <f>BU19/BU10*BT10</f>
        <v>428004.36186902685</v>
      </c>
      <c r="BU19" s="14">
        <f>BV19/BV10*BU10</f>
        <v>424959.67941266415</v>
      </c>
      <c r="BV19" s="14">
        <f>BV15</f>
        <v>421777</v>
      </c>
      <c r="BW19" s="14">
        <f aca="true" t="shared" si="11" ref="BW19:CO19">BW15</f>
        <v>422690</v>
      </c>
      <c r="BX19" s="14">
        <f t="shared" si="11"/>
        <v>429882</v>
      </c>
      <c r="BY19" s="14">
        <f t="shared" si="11"/>
        <v>427324</v>
      </c>
      <c r="BZ19" s="14">
        <f t="shared" si="11"/>
        <v>436008</v>
      </c>
      <c r="CA19" s="14">
        <f t="shared" si="11"/>
        <v>445032</v>
      </c>
      <c r="CB19" s="14">
        <f t="shared" si="11"/>
        <v>452461</v>
      </c>
      <c r="CC19" s="14">
        <f t="shared" si="11"/>
        <v>457182</v>
      </c>
      <c r="CD19" s="14">
        <f t="shared" si="11"/>
        <v>463168</v>
      </c>
      <c r="CE19" s="14">
        <f t="shared" si="11"/>
        <v>465517</v>
      </c>
      <c r="CF19" s="14">
        <f t="shared" si="11"/>
        <v>468017</v>
      </c>
      <c r="CG19" s="14">
        <f t="shared" si="11"/>
        <v>469995</v>
      </c>
      <c r="CH19" s="14">
        <f t="shared" si="11"/>
        <v>471761</v>
      </c>
      <c r="CI19" s="14">
        <f t="shared" si="11"/>
        <v>480232</v>
      </c>
      <c r="CJ19" s="14">
        <f t="shared" si="11"/>
        <v>477890</v>
      </c>
      <c r="CK19" s="14">
        <f t="shared" si="11"/>
        <v>482108</v>
      </c>
      <c r="CL19" s="14">
        <f t="shared" si="11"/>
        <v>488879</v>
      </c>
      <c r="CM19" s="14">
        <f t="shared" si="11"/>
        <v>493925</v>
      </c>
      <c r="CN19" s="14">
        <f t="shared" si="11"/>
        <v>516586</v>
      </c>
      <c r="CO19" s="14">
        <f t="shared" si="11"/>
        <v>537359</v>
      </c>
    </row>
    <row r="20" spans="1:93" ht="12.75">
      <c r="A20" s="9" t="s">
        <v>207</v>
      </c>
      <c r="E20" s="9" t="s">
        <v>188</v>
      </c>
      <c r="F20" s="14">
        <f>F18*F19/1000000</f>
        <v>2740.0281466608167</v>
      </c>
      <c r="G20" s="14">
        <f aca="true" t="shared" si="12" ref="G20:BR20">G18*G19/1000000</f>
        <v>2827.0896860214366</v>
      </c>
      <c r="H20" s="14">
        <f t="shared" si="12"/>
        <v>2916.9175150806054</v>
      </c>
      <c r="I20" s="14">
        <f t="shared" si="12"/>
        <v>3009.599529811131</v>
      </c>
      <c r="J20" s="14">
        <f t="shared" si="12"/>
        <v>3105.2264189887737</v>
      </c>
      <c r="K20" s="14">
        <f t="shared" si="12"/>
        <v>3203.8917529306486</v>
      </c>
      <c r="L20" s="14">
        <f t="shared" si="12"/>
        <v>3305.692075053203</v>
      </c>
      <c r="M20" s="14">
        <f t="shared" si="12"/>
        <v>3410.726996339345</v>
      </c>
      <c r="N20" s="14">
        <f t="shared" si="12"/>
        <v>3519.0992928071755</v>
      </c>
      <c r="O20" s="14">
        <f t="shared" si="12"/>
        <v>3630.9150060756815</v>
      </c>
      <c r="P20" s="14">
        <f t="shared" si="12"/>
        <v>3746.2835471258013</v>
      </c>
      <c r="Q20" s="14">
        <f t="shared" si="12"/>
        <v>3865.317803358392</v>
      </c>
      <c r="R20" s="14">
        <f t="shared" si="12"/>
        <v>3988.134249053849</v>
      </c>
      <c r="S20" s="14">
        <f t="shared" si="12"/>
        <v>4114.853059341464</v>
      </c>
      <c r="T20" s="14">
        <f t="shared" si="12"/>
        <v>4245.598227790046</v>
      </c>
      <c r="U20" s="14">
        <f t="shared" si="12"/>
        <v>4380.497687734854</v>
      </c>
      <c r="V20" s="14">
        <f t="shared" si="12"/>
        <v>4519.683437459578</v>
      </c>
      <c r="W20" s="14">
        <f t="shared" si="12"/>
        <v>4663.291669355831</v>
      </c>
      <c r="X20" s="14">
        <f t="shared" si="12"/>
        <v>4811.462903186564</v>
      </c>
      <c r="Y20" s="14">
        <f t="shared" si="12"/>
        <v>4964.342123583782</v>
      </c>
      <c r="Z20" s="14">
        <f t="shared" si="12"/>
        <v>5122.078921915099</v>
      </c>
      <c r="AA20" s="14">
        <f t="shared" si="12"/>
        <v>5284.827642657972</v>
      </c>
      <c r="AB20" s="14">
        <f t="shared" si="12"/>
        <v>5452.747534424805</v>
      </c>
      <c r="AC20" s="14">
        <f t="shared" si="12"/>
        <v>5628.449511788761</v>
      </c>
      <c r="AD20" s="14">
        <f t="shared" si="12"/>
        <v>5809.051966556818</v>
      </c>
      <c r="AE20" s="14">
        <f t="shared" si="12"/>
        <v>5994.681739548731</v>
      </c>
      <c r="AF20" s="14">
        <f t="shared" si="12"/>
        <v>6185.468807745415</v>
      </c>
      <c r="AG20" s="14">
        <f t="shared" si="12"/>
        <v>6381.546359467182</v>
      </c>
      <c r="AH20" s="14">
        <f t="shared" si="12"/>
        <v>6583.05087131431</v>
      </c>
      <c r="AI20" s="14">
        <f t="shared" si="12"/>
        <v>6790.122186910519</v>
      </c>
      <c r="AJ20" s="14">
        <f t="shared" si="12"/>
        <v>7002.903597490949</v>
      </c>
      <c r="AK20" s="14">
        <f t="shared" si="12"/>
        <v>7221.541924377075</v>
      </c>
      <c r="AL20" s="14">
        <f t="shared" si="12"/>
        <v>7446.187603382045</v>
      </c>
      <c r="AM20" s="14">
        <f t="shared" si="12"/>
        <v>9011.523076968146</v>
      </c>
      <c r="AN20" s="14">
        <f t="shared" si="12"/>
        <v>10637.648508408494</v>
      </c>
      <c r="AO20" s="14">
        <f t="shared" si="12"/>
        <v>12326.39316900511</v>
      </c>
      <c r="AP20" s="14">
        <f t="shared" si="12"/>
        <v>14079.635675595084</v>
      </c>
      <c r="AQ20" s="14">
        <f t="shared" si="12"/>
        <v>15899.305242775152</v>
      </c>
      <c r="AR20" s="14">
        <f t="shared" si="12"/>
        <v>17787.382965685352</v>
      </c>
      <c r="AS20" s="14">
        <f t="shared" si="12"/>
        <v>19745.903134077616</v>
      </c>
      <c r="AT20" s="14">
        <f t="shared" si="12"/>
        <v>21776.954578411885</v>
      </c>
      <c r="AU20" s="14">
        <f t="shared" si="12"/>
        <v>23882.682048739774</v>
      </c>
      <c r="AV20" s="14">
        <f t="shared" si="12"/>
        <v>26065.287627153335</v>
      </c>
      <c r="AW20" s="14">
        <f t="shared" si="12"/>
        <v>30156.890876269954</v>
      </c>
      <c r="AX20" s="14">
        <f t="shared" si="12"/>
        <v>34404.642326463734</v>
      </c>
      <c r="AY20" s="14">
        <f t="shared" si="12"/>
        <v>38813.21124906182</v>
      </c>
      <c r="AZ20" s="14">
        <f t="shared" si="12"/>
        <v>43683.00904601837</v>
      </c>
      <c r="BA20" s="14">
        <f t="shared" si="12"/>
        <v>48279.00215578092</v>
      </c>
      <c r="BB20" s="14">
        <f t="shared" si="12"/>
        <v>54734.87783238513</v>
      </c>
      <c r="BC20" s="14">
        <f t="shared" si="12"/>
        <v>57333.264308817386</v>
      </c>
      <c r="BD20" s="14">
        <f t="shared" si="12"/>
        <v>59112.58988240891</v>
      </c>
      <c r="BE20" s="14">
        <f t="shared" si="12"/>
        <v>68890.86620050039</v>
      </c>
      <c r="BF20" s="14">
        <f t="shared" si="12"/>
        <v>70106.75764535915</v>
      </c>
      <c r="BG20" s="14">
        <f t="shared" si="12"/>
        <v>71292.97770489511</v>
      </c>
      <c r="BH20" s="14">
        <f t="shared" si="12"/>
        <v>72057.58988328552</v>
      </c>
      <c r="BI20" s="14">
        <f t="shared" si="12"/>
        <v>74080.99822373295</v>
      </c>
      <c r="BJ20" s="14">
        <f t="shared" si="12"/>
        <v>81046.47578292695</v>
      </c>
      <c r="BK20" s="14">
        <f t="shared" si="12"/>
        <v>90253.80950539897</v>
      </c>
      <c r="BL20" s="14">
        <f t="shared" si="12"/>
        <v>87855.41050202955</v>
      </c>
      <c r="BM20" s="14">
        <f t="shared" si="12"/>
        <v>89937.28792511966</v>
      </c>
      <c r="BN20" s="14">
        <f t="shared" si="12"/>
        <v>87167.44940795739</v>
      </c>
      <c r="BO20" s="14">
        <f t="shared" si="12"/>
        <v>85678.9925440257</v>
      </c>
      <c r="BP20" s="14">
        <f t="shared" si="12"/>
        <v>84062.45912293161</v>
      </c>
      <c r="BQ20" s="14">
        <f t="shared" si="12"/>
        <v>87134.41070204742</v>
      </c>
      <c r="BR20" s="14">
        <f t="shared" si="12"/>
        <v>93854.98304372323</v>
      </c>
      <c r="BS20" s="14">
        <f aca="true" t="shared" si="13" ref="BS20:CO20">BS18*BS19/1000000</f>
        <v>99612.86457662476</v>
      </c>
      <c r="BT20" s="14">
        <f t="shared" si="13"/>
        <v>99670.5929646668</v>
      </c>
      <c r="BU20" s="14">
        <f t="shared" si="13"/>
        <v>100138.40462782307</v>
      </c>
      <c r="BV20" s="14">
        <f t="shared" si="13"/>
        <v>100747.3994298823</v>
      </c>
      <c r="BW20" s="14">
        <f t="shared" si="13"/>
        <v>103913.52027029339</v>
      </c>
      <c r="BX20" s="14">
        <f t="shared" si="13"/>
        <v>107708.97994606565</v>
      </c>
      <c r="BY20" s="14">
        <f t="shared" si="13"/>
        <v>108217.70480859547</v>
      </c>
      <c r="BZ20" s="14">
        <f t="shared" si="13"/>
        <v>112591.35036621275</v>
      </c>
      <c r="CA20" s="14">
        <f t="shared" si="13"/>
        <v>116188.61030527428</v>
      </c>
      <c r="CB20" s="14">
        <f t="shared" si="13"/>
        <v>121201.55862956647</v>
      </c>
      <c r="CC20" s="14">
        <f t="shared" si="13"/>
        <v>127605.4783281298</v>
      </c>
      <c r="CD20" s="14">
        <f t="shared" si="13"/>
        <v>133215.984129868</v>
      </c>
      <c r="CE20" s="14">
        <f t="shared" si="13"/>
        <v>135640.60935622497</v>
      </c>
      <c r="CF20" s="14">
        <f t="shared" si="13"/>
        <v>138971.31396326338</v>
      </c>
      <c r="CG20" s="14">
        <f t="shared" si="13"/>
        <v>141086.05008961598</v>
      </c>
      <c r="CH20" s="14">
        <f t="shared" si="13"/>
        <v>144920.00998429031</v>
      </c>
      <c r="CI20" s="14">
        <f t="shared" si="13"/>
        <v>148962.742524655</v>
      </c>
      <c r="CJ20" s="14">
        <f t="shared" si="13"/>
        <v>147969.78281331333</v>
      </c>
      <c r="CK20" s="14">
        <f t="shared" si="13"/>
        <v>151383.83867131587</v>
      </c>
      <c r="CL20" s="14">
        <f t="shared" si="13"/>
        <v>154522.36781087084</v>
      </c>
      <c r="CM20" s="14">
        <f t="shared" si="13"/>
        <v>156748.15917092547</v>
      </c>
      <c r="CN20" s="14">
        <f t="shared" si="13"/>
        <v>166945.9914736893</v>
      </c>
      <c r="CO20" s="14">
        <f t="shared" si="13"/>
        <v>172490.7007343602</v>
      </c>
    </row>
    <row r="21" spans="1:93" ht="12.75">
      <c r="A21" s="9" t="s">
        <v>194</v>
      </c>
      <c r="D21" s="9" t="s">
        <v>195</v>
      </c>
      <c r="E21" s="9" t="s">
        <v>25</v>
      </c>
      <c r="BL21" s="14"/>
      <c r="BM21" s="14"/>
      <c r="BN21" s="14"/>
      <c r="BO21" s="14"/>
      <c r="BP21" s="14"/>
      <c r="BQ21" s="14"/>
      <c r="BR21" s="14"/>
      <c r="BS21" s="14"/>
      <c r="BT21" s="14">
        <v>1611.5661120182474</v>
      </c>
      <c r="BU21" s="14">
        <v>1681.3118981500318</v>
      </c>
      <c r="BV21" s="14">
        <v>1750.2129719722159</v>
      </c>
      <c r="BW21" s="14">
        <v>1820.818669474455</v>
      </c>
      <c r="BX21" s="14">
        <v>1893.712414671046</v>
      </c>
      <c r="BY21" s="14">
        <v>1965.5522074105204</v>
      </c>
      <c r="BZ21" s="14">
        <v>2040.196802746574</v>
      </c>
      <c r="CA21" s="14">
        <v>2116.8060093856693</v>
      </c>
      <c r="CB21" s="14">
        <v>2196.7433446739797</v>
      </c>
      <c r="CC21" s="14">
        <v>2281.326527546923</v>
      </c>
      <c r="CD21" s="14">
        <v>2369.6681807136165</v>
      </c>
      <c r="CE21" s="14">
        <v>2458.5003535973556</v>
      </c>
      <c r="CF21" s="14">
        <v>2548.694659061132</v>
      </c>
      <c r="CG21" s="14">
        <v>2638.9871932458886</v>
      </c>
      <c r="CH21" s="14">
        <v>2731.0674497754612</v>
      </c>
      <c r="CI21" s="14">
        <v>2825.088869339055</v>
      </c>
      <c r="CJ21" s="14">
        <v>2915.957371813744</v>
      </c>
      <c r="CK21" s="14">
        <v>3008.0968064878425</v>
      </c>
      <c r="CL21" s="14">
        <v>3101.1827679845737</v>
      </c>
      <c r="CM21" s="14">
        <v>3194.257818212382</v>
      </c>
      <c r="CN21" s="14">
        <v>3295.26298885836</v>
      </c>
      <c r="CO21" s="14">
        <v>3399.3952322075465</v>
      </c>
    </row>
    <row r="22" spans="1:93" ht="12.75">
      <c r="A22" s="9" t="s">
        <v>208</v>
      </c>
      <c r="E22" s="9" t="s">
        <v>25</v>
      </c>
      <c r="BU22" s="30">
        <f>BU21-BT21</f>
        <v>69.74578613178437</v>
      </c>
      <c r="BV22" s="30">
        <f aca="true" t="shared" si="14" ref="BV22:CO22">BV21-BU21</f>
        <v>68.90107382218412</v>
      </c>
      <c r="BW22" s="30">
        <f t="shared" si="14"/>
        <v>70.60569750223908</v>
      </c>
      <c r="BX22" s="30">
        <f t="shared" si="14"/>
        <v>72.893745196591</v>
      </c>
      <c r="BY22" s="30">
        <f t="shared" si="14"/>
        <v>71.83979273947443</v>
      </c>
      <c r="BZ22" s="30">
        <f t="shared" si="14"/>
        <v>74.6445953360535</v>
      </c>
      <c r="CA22" s="30">
        <f t="shared" si="14"/>
        <v>76.60920663909542</v>
      </c>
      <c r="CB22" s="30">
        <f t="shared" si="14"/>
        <v>79.93733528831035</v>
      </c>
      <c r="CC22" s="30">
        <f t="shared" si="14"/>
        <v>84.58318287294333</v>
      </c>
      <c r="CD22" s="30">
        <f t="shared" si="14"/>
        <v>88.3416531666935</v>
      </c>
      <c r="CE22" s="30">
        <f t="shared" si="14"/>
        <v>88.83217288373908</v>
      </c>
      <c r="CF22" s="30">
        <f t="shared" si="14"/>
        <v>90.19430546377635</v>
      </c>
      <c r="CG22" s="30">
        <f t="shared" si="14"/>
        <v>90.29253418475673</v>
      </c>
      <c r="CH22" s="30">
        <f t="shared" si="14"/>
        <v>92.08025652957258</v>
      </c>
      <c r="CI22" s="30">
        <f t="shared" si="14"/>
        <v>94.02141956359355</v>
      </c>
      <c r="CJ22" s="30">
        <f t="shared" si="14"/>
        <v>90.8685024746892</v>
      </c>
      <c r="CK22" s="30">
        <f t="shared" si="14"/>
        <v>92.13943467409854</v>
      </c>
      <c r="CL22" s="30">
        <f t="shared" si="14"/>
        <v>93.08596149673122</v>
      </c>
      <c r="CM22" s="30">
        <f t="shared" si="14"/>
        <v>93.07505022780833</v>
      </c>
      <c r="CN22" s="30">
        <f t="shared" si="14"/>
        <v>101.00517064597807</v>
      </c>
      <c r="CO22" s="30">
        <f t="shared" si="14"/>
        <v>104.13224334918641</v>
      </c>
    </row>
    <row r="23" spans="73:92" ht="12.75">
      <c r="BU23" s="32"/>
      <c r="BV23" s="32"/>
      <c r="BW23" s="32"/>
      <c r="BX23" s="32"/>
      <c r="BY23" s="32"/>
      <c r="BZ23" s="32"/>
      <c r="CA23" s="32"/>
      <c r="CB23" s="32"/>
      <c r="CC23" s="32"/>
      <c r="CD23" s="32"/>
      <c r="CE23" s="32"/>
      <c r="CF23" s="32"/>
      <c r="CG23" s="32"/>
      <c r="CH23" s="32"/>
      <c r="CI23" s="32"/>
      <c r="CJ23" s="32"/>
      <c r="CK23" s="32"/>
      <c r="CL23" s="32"/>
      <c r="CM23" s="32"/>
      <c r="CN23" s="32"/>
    </row>
    <row r="24" spans="2:92" ht="12.75">
      <c r="B24" s="14"/>
      <c r="BU24" s="8"/>
      <c r="BV24" s="8"/>
      <c r="BW24" s="8"/>
      <c r="BX24" s="8"/>
      <c r="BY24" s="8"/>
      <c r="BZ24" s="8"/>
      <c r="CA24" s="8"/>
      <c r="CB24" s="8"/>
      <c r="CC24" s="8"/>
      <c r="CD24" s="8"/>
      <c r="CE24" s="8"/>
      <c r="CF24" s="8"/>
      <c r="CG24" s="8"/>
      <c r="CH24" s="8"/>
      <c r="CI24" s="8"/>
      <c r="CJ24" s="8"/>
      <c r="CK24" s="8"/>
      <c r="CL24" s="8"/>
      <c r="CM24" s="8"/>
      <c r="CN24" s="8"/>
    </row>
    <row r="28" spans="64:92" ht="12.75">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row>
    <row r="29" spans="64:92" ht="12.75">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row>
    <row r="30" spans="64:92" ht="12.75">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row>
    <row r="31" spans="64:92" ht="12.75">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row>
    <row r="32" spans="64:92" ht="12.75">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row>
    <row r="33" spans="64:92" ht="12.75">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row>
    <row r="34" spans="64:92" ht="12.75">
      <c r="BL34" s="14"/>
      <c r="BM34" s="14"/>
      <c r="BN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row>
    <row r="35" spans="64:92" ht="12.75">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row>
    <row r="36" spans="64:92" ht="12.75">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row>
    <row r="37" spans="64:92" ht="12.75">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row>
    <row r="38" spans="64:92" ht="12.75">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row>
    <row r="39" spans="64:92" ht="12.75">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row>
    <row r="40" spans="64:92" ht="12.75">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row>
    <row r="41" spans="64:92" ht="12.75">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row>
    <row r="42" spans="64:92" ht="12.75">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row>
    <row r="43" spans="64:92" ht="12.75">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row>
    <row r="44" spans="64:92" ht="12.75">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row>
    <row r="45" spans="64:92" ht="12.75">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row>
    <row r="46" spans="64:92" ht="12.75">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row>
    <row r="47" spans="64:92" ht="12.75">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row>
    <row r="48" spans="64:92" ht="12.75">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row>
    <row r="49" spans="64:92" ht="12.75">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row>
    <row r="50" spans="64:92" ht="12.75">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row>
    <row r="51" spans="64:92" ht="12.75">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row>
    <row r="52" spans="64:92" ht="12.75">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row>
    <row r="53" spans="64:92" ht="12.75">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row>
    <row r="54" spans="64:92" ht="12.75">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row>
    <row r="55" spans="64:92" ht="12.75">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row>
    <row r="56" spans="64:92" ht="12.75">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row>
    <row r="57" spans="64:92" ht="12.75">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row>
    <row r="58" spans="64:92" ht="12.75">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row>
    <row r="59" spans="64:92" ht="12.75">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row>
    <row r="60" spans="64:92" ht="12.75">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row>
    <row r="61" spans="64:92" ht="12.75">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row>
    <row r="62" spans="64:92" ht="12.75">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row>
    <row r="63" spans="64:92" ht="12.75">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row>
  </sheetData>
  <hyperlinks>
    <hyperlink ref="A2" location="'Ægte opsparing'!A1" display="Retur til forsiden"/>
  </hyperlinks>
  <printOptions/>
  <pageMargins left="0.75" right="0.75" top="1" bottom="1"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I61"/>
  <sheetViews>
    <sheetView workbookViewId="0" topLeftCell="A1">
      <selection activeCell="A1" sqref="A1"/>
    </sheetView>
  </sheetViews>
  <sheetFormatPr defaultColWidth="9.140625" defaultRowHeight="12.75"/>
  <cols>
    <col min="1" max="3" width="9.140625" style="9" customWidth="1"/>
    <col min="4" max="4" width="10.140625" style="9" customWidth="1"/>
    <col min="5" max="16" width="9.140625" style="9" customWidth="1"/>
    <col min="17" max="17" width="10.140625" style="9" customWidth="1"/>
    <col min="18" max="16384" width="9.140625" style="9" customWidth="1"/>
  </cols>
  <sheetData>
    <row r="1" s="15" customFormat="1" ht="37.5" customHeight="1">
      <c r="A1" s="15" t="s">
        <v>280</v>
      </c>
    </row>
    <row r="2" spans="1:35" s="17" customFormat="1" ht="30" customHeight="1">
      <c r="A2" s="16" t="s">
        <v>287</v>
      </c>
      <c r="C2" s="17" t="s">
        <v>3</v>
      </c>
      <c r="D2" s="17" t="s">
        <v>2</v>
      </c>
      <c r="E2" s="17" t="s">
        <v>1</v>
      </c>
      <c r="F2" s="17">
        <v>1981</v>
      </c>
      <c r="G2" s="17">
        <v>1982</v>
      </c>
      <c r="H2" s="17">
        <v>1983</v>
      </c>
      <c r="I2" s="17">
        <v>1984</v>
      </c>
      <c r="J2" s="17">
        <v>1985</v>
      </c>
      <c r="K2" s="17">
        <v>1986</v>
      </c>
      <c r="L2" s="17">
        <v>1987</v>
      </c>
      <c r="M2" s="17">
        <v>1988</v>
      </c>
      <c r="N2" s="17">
        <v>1989</v>
      </c>
      <c r="O2" s="17">
        <v>1990</v>
      </c>
      <c r="P2" s="17">
        <v>1991</v>
      </c>
      <c r="Q2" s="17">
        <v>1992</v>
      </c>
      <c r="R2" s="17">
        <v>1993</v>
      </c>
      <c r="S2" s="17">
        <v>1994</v>
      </c>
      <c r="T2" s="17">
        <v>1995</v>
      </c>
      <c r="U2" s="17">
        <v>1996</v>
      </c>
      <c r="V2" s="17">
        <v>1997</v>
      </c>
      <c r="W2" s="17">
        <v>1998</v>
      </c>
      <c r="X2" s="17">
        <v>1999</v>
      </c>
      <c r="Y2" s="17">
        <v>2000</v>
      </c>
      <c r="Z2" s="17">
        <v>2001</v>
      </c>
      <c r="AA2" s="17">
        <v>2002</v>
      </c>
      <c r="AB2" s="17">
        <v>2003</v>
      </c>
      <c r="AC2" s="17">
        <v>2004</v>
      </c>
      <c r="AD2" s="17">
        <v>2005</v>
      </c>
      <c r="AE2" s="17">
        <v>2006</v>
      </c>
      <c r="AF2" s="17">
        <v>2007</v>
      </c>
      <c r="AG2" s="17">
        <v>2008</v>
      </c>
      <c r="AH2" s="17">
        <v>2009</v>
      </c>
      <c r="AI2" s="17">
        <v>2010</v>
      </c>
    </row>
    <row r="3" spans="1:35" ht="12.75">
      <c r="A3" s="9" t="s">
        <v>21</v>
      </c>
      <c r="E3" s="9" t="s">
        <v>25</v>
      </c>
      <c r="O3" s="8">
        <f aca="true" t="shared" si="0" ref="O3:AH3">O10+O22</f>
        <v>8.161445420175168</v>
      </c>
      <c r="P3" s="8">
        <f t="shared" si="0"/>
        <v>7.95032251007458</v>
      </c>
      <c r="Q3" s="8">
        <f t="shared" si="0"/>
        <v>7.288303445022104</v>
      </c>
      <c r="R3" s="8">
        <f t="shared" si="0"/>
        <v>7.011095043049496</v>
      </c>
      <c r="S3" s="8">
        <f t="shared" si="0"/>
        <v>7.515792935807063</v>
      </c>
      <c r="T3" s="8">
        <f t="shared" si="0"/>
        <v>8.374583692287384</v>
      </c>
      <c r="U3" s="8">
        <f t="shared" si="0"/>
        <v>8.4112956081872</v>
      </c>
      <c r="V3" s="8">
        <f t="shared" si="0"/>
        <v>9.667337114938576</v>
      </c>
      <c r="W3" s="8">
        <f t="shared" si="0"/>
        <v>10.913890911866623</v>
      </c>
      <c r="X3" s="8">
        <f t="shared" si="0"/>
        <v>12.637001084164442</v>
      </c>
      <c r="Y3" s="8">
        <f t="shared" si="0"/>
        <v>13.73716584065328</v>
      </c>
      <c r="Z3" s="8">
        <f t="shared" si="0"/>
        <v>14.586783808456024</v>
      </c>
      <c r="AA3" s="8">
        <f t="shared" si="0"/>
        <v>14.586259783511426</v>
      </c>
      <c r="AB3" s="8">
        <f t="shared" si="0"/>
        <v>14.010682402046728</v>
      </c>
      <c r="AC3" s="8">
        <f t="shared" si="0"/>
        <v>11.87834778532847</v>
      </c>
      <c r="AD3" s="8">
        <f t="shared" si="0"/>
        <v>11.473082739934132</v>
      </c>
      <c r="AE3" s="8">
        <f t="shared" si="0"/>
        <v>12.405812944507867</v>
      </c>
      <c r="AF3" s="8">
        <f t="shared" si="0"/>
        <v>13.908210545938434</v>
      </c>
      <c r="AG3" s="8">
        <f t="shared" si="0"/>
        <v>16.730894705237837</v>
      </c>
      <c r="AH3" s="8">
        <f t="shared" si="0"/>
        <v>13.96811855446607</v>
      </c>
      <c r="AI3" s="30"/>
    </row>
    <row r="4" spans="1:35" ht="12.75">
      <c r="A4" s="9" t="s">
        <v>21</v>
      </c>
      <c r="E4" s="9" t="s">
        <v>105</v>
      </c>
      <c r="O4" s="8">
        <f>O3/BNP!Y3*100</f>
        <v>0.7263657369326423</v>
      </c>
      <c r="P4" s="8">
        <f>P3/BNP!Z3*100</f>
        <v>0.6984996055240361</v>
      </c>
      <c r="Q4" s="8">
        <f>Q3/BNP!AA3*100</f>
        <v>0.6279772053267365</v>
      </c>
      <c r="R4" s="8">
        <f>R3/BNP!AB3*100</f>
        <v>0.6046132324119952</v>
      </c>
      <c r="S4" s="8">
        <f>S3/BNP!AC3*100</f>
        <v>0.6141859063338289</v>
      </c>
      <c r="T4" s="8">
        <f>T3/BNP!AD3*100</f>
        <v>0.6640171021477469</v>
      </c>
      <c r="U4" s="8">
        <f>U3/BNP!AE3*100</f>
        <v>0.6485693274876396</v>
      </c>
      <c r="V4" s="8">
        <f>V3/BNP!AF3*100</f>
        <v>0.7223055226343824</v>
      </c>
      <c r="W4" s="8">
        <f>W3/BNP!AG3*100</f>
        <v>0.7982074827665198</v>
      </c>
      <c r="X4" s="8">
        <f>X3/BNP!AH3*100</f>
        <v>0.9011624534097157</v>
      </c>
      <c r="Y4" s="8">
        <f>Y3/BNP!AI3*100</f>
        <v>0.9462161344987794</v>
      </c>
      <c r="Z4" s="8">
        <f>Z3/BNP!AJ3*100</f>
        <v>0.9976597912903374</v>
      </c>
      <c r="AA4" s="8">
        <f>AA3/BNP!AK3*100</f>
        <v>0.9930056357486163</v>
      </c>
      <c r="AB4" s="8">
        <f>AB3/BNP!AL3*100</f>
        <v>0.9501988743334504</v>
      </c>
      <c r="AC4" s="8">
        <f>AC3/BNP!AM3*100</f>
        <v>0.7874799645537304</v>
      </c>
      <c r="AD4" s="8">
        <f>AD3/BNP!AN3*100</f>
        <v>0.7424501870144394</v>
      </c>
      <c r="AE4" s="8">
        <f>AE3/BNP!AO3*100</f>
        <v>0.7764794983105631</v>
      </c>
      <c r="AF4" s="8">
        <f>AF3/BNP!AP3*100</f>
        <v>0.8569445807725469</v>
      </c>
      <c r="AG4" s="8">
        <f>AG3/BNP!AQ3*100</f>
        <v>1.03899240546717</v>
      </c>
      <c r="AH4" s="8">
        <f>AH3/BNP!AR3*100</f>
        <v>0.9211975568466708</v>
      </c>
      <c r="AI4" s="8"/>
    </row>
    <row r="5" spans="15:34" ht="12.75">
      <c r="O5" s="8"/>
      <c r="P5" s="8"/>
      <c r="Q5" s="8"/>
      <c r="R5" s="8"/>
      <c r="S5" s="8"/>
      <c r="T5" s="8"/>
      <c r="U5" s="8"/>
      <c r="V5" s="8"/>
      <c r="W5" s="8"/>
      <c r="X5" s="8"/>
      <c r="Y5" s="8"/>
      <c r="Z5" s="8"/>
      <c r="AA5" s="8"/>
      <c r="AB5" s="8"/>
      <c r="AC5" s="8"/>
      <c r="AD5" s="8"/>
      <c r="AE5" s="8"/>
      <c r="AF5" s="8"/>
      <c r="AG5" s="8"/>
      <c r="AH5" s="8"/>
    </row>
    <row r="6" ht="12.75">
      <c r="A6" s="9" t="s">
        <v>42</v>
      </c>
    </row>
    <row r="7" spans="1:35" ht="12.75">
      <c r="A7" s="9" t="s">
        <v>37</v>
      </c>
      <c r="C7" s="9" t="s">
        <v>38</v>
      </c>
      <c r="E7" s="9" t="s">
        <v>24</v>
      </c>
      <c r="F7" s="8">
        <v>4.4684</v>
      </c>
      <c r="G7" s="8">
        <v>5.2926</v>
      </c>
      <c r="H7" s="8">
        <v>6.097</v>
      </c>
      <c r="I7" s="8">
        <v>6.896</v>
      </c>
      <c r="J7" s="8">
        <v>7.692</v>
      </c>
      <c r="K7" s="8">
        <v>8.813</v>
      </c>
      <c r="L7" s="8">
        <v>9.933</v>
      </c>
      <c r="M7" s="8">
        <v>10.913</v>
      </c>
      <c r="N7" s="8">
        <v>11.892</v>
      </c>
      <c r="O7" s="8">
        <v>12.996</v>
      </c>
      <c r="P7" s="8">
        <v>14.1</v>
      </c>
      <c r="Q7" s="8">
        <v>14.897</v>
      </c>
      <c r="R7" s="8">
        <v>15.695</v>
      </c>
      <c r="S7" s="33">
        <v>17.119</v>
      </c>
      <c r="T7" s="8">
        <v>18.543</v>
      </c>
      <c r="U7" s="8">
        <v>19.657</v>
      </c>
      <c r="V7" s="8">
        <v>21.652</v>
      </c>
      <c r="W7" s="8">
        <v>23.79314</v>
      </c>
      <c r="X7" s="8">
        <v>26.415110000000002</v>
      </c>
      <c r="Y7" s="8">
        <v>29.009</v>
      </c>
      <c r="Z7" s="8">
        <v>31.883380000000002</v>
      </c>
      <c r="AA7" s="8">
        <v>34.431</v>
      </c>
      <c r="AB7" s="8">
        <v>36.074597000000004</v>
      </c>
      <c r="AC7" s="8">
        <v>36.432618999999995</v>
      </c>
      <c r="AD7" s="8">
        <v>37.958515</v>
      </c>
      <c r="AE7" s="8">
        <v>40.424757</v>
      </c>
      <c r="AF7" s="8">
        <v>43.739129999999996</v>
      </c>
      <c r="AG7" s="8">
        <v>49.963</v>
      </c>
      <c r="AH7" s="8">
        <v>50.004105</v>
      </c>
      <c r="AI7" s="30"/>
    </row>
    <row r="8" spans="1:35" ht="12.75">
      <c r="A8" s="9" t="s">
        <v>37</v>
      </c>
      <c r="D8" s="9" t="s">
        <v>39</v>
      </c>
      <c r="E8" s="9" t="s">
        <v>25</v>
      </c>
      <c r="F8" s="30">
        <f>F7/BNP!P4</f>
        <v>9.421544196027577</v>
      </c>
      <c r="G8" s="30">
        <f>G7/BNP!Q4</f>
        <v>10.135711131918669</v>
      </c>
      <c r="H8" s="30">
        <f>H7/BNP!R4</f>
        <v>10.871433322239076</v>
      </c>
      <c r="I8" s="30">
        <f>I7/BNP!S4</f>
        <v>11.60192360633655</v>
      </c>
      <c r="J8" s="30">
        <f>J7/BNP!T4</f>
        <v>12.407195824525031</v>
      </c>
      <c r="K8" s="30">
        <f>K7/BNP!U4</f>
        <v>13.84624433034355</v>
      </c>
      <c r="L8" s="30">
        <f>L7/BNP!V4</f>
        <v>14.891710726895479</v>
      </c>
      <c r="M8" s="30">
        <f>M7/BNP!W4</f>
        <v>15.74182699791271</v>
      </c>
      <c r="N8" s="30">
        <f>N7/BNP!X4</f>
        <v>16.344480358274307</v>
      </c>
      <c r="O8" s="30">
        <f>O7/BNP!Y4</f>
        <v>17.369584870530232</v>
      </c>
      <c r="P8" s="30">
        <f>P7/BNP!Z4</f>
        <v>18.354077267666163</v>
      </c>
      <c r="Q8" s="30">
        <f>Q7/BNP!AA4</f>
        <v>19.071567713822006</v>
      </c>
      <c r="R8" s="30">
        <f>R7/BNP!AB4</f>
        <v>19.960390166808516</v>
      </c>
      <c r="S8" s="30">
        <f>S7/BNP!AC4</f>
        <v>21.442570143558225</v>
      </c>
      <c r="T8" s="30">
        <f>T7/BNP!AD4</f>
        <v>22.93792472827781</v>
      </c>
      <c r="U8" s="30">
        <f>U7/BNP!AE4</f>
        <v>23.837508341081534</v>
      </c>
      <c r="V8" s="30">
        <f>V7/BNP!AF4</f>
        <v>25.7448798904031</v>
      </c>
      <c r="W8" s="30">
        <f>W7/BNP!AG4</f>
        <v>27.958740380482293</v>
      </c>
      <c r="X8" s="30">
        <f>X7/BNP!AH4</f>
        <v>30.526554759121208</v>
      </c>
      <c r="Y8" s="30">
        <f>Y7/BNP!AI4</f>
        <v>32.54817513364188</v>
      </c>
      <c r="Z8" s="30">
        <f>Z7/BNP!AJ4</f>
        <v>34.90203536451275</v>
      </c>
      <c r="AA8" s="30">
        <f>AA7/BNP!AK4</f>
        <v>36.84233337183457</v>
      </c>
      <c r="AB8" s="30">
        <f>AB7/BNP!AL4</f>
        <v>37.975926709548204</v>
      </c>
      <c r="AC8" s="30">
        <f>AC7/BNP!AM4</f>
        <v>37.481106901283006</v>
      </c>
      <c r="AD8" s="30">
        <f>AD7/BNP!AN4</f>
        <v>37.958515</v>
      </c>
      <c r="AE8" s="30">
        <f>AE7/BNP!AO4</f>
        <v>39.58376197639989</v>
      </c>
      <c r="AF8" s="30">
        <f>AF7/BNP!AP4</f>
        <v>41.87494176141475</v>
      </c>
      <c r="AG8" s="30">
        <f>AG7/BNP!AQ4</f>
        <v>45.89150730735202</v>
      </c>
      <c r="AH8" s="30">
        <f>AH7/BNP!AR4</f>
        <v>45.46220314061484</v>
      </c>
      <c r="AI8" s="30"/>
    </row>
    <row r="9" spans="1:34" ht="12.75">
      <c r="A9" s="9" t="s">
        <v>57</v>
      </c>
      <c r="D9" s="9" t="s">
        <v>41</v>
      </c>
      <c r="E9" s="9" t="s">
        <v>25</v>
      </c>
      <c r="F9" s="8">
        <f>F8/(0.076087+0.15)</f>
        <v>41.672206699313</v>
      </c>
      <c r="G9" s="8">
        <f>F9*0.85+G8</f>
        <v>45.55708682633472</v>
      </c>
      <c r="H9" s="8">
        <f aca="true" t="shared" si="1" ref="H9:AH9">G9*0.85+H8</f>
        <v>49.59495712462359</v>
      </c>
      <c r="I9" s="8">
        <f t="shared" si="1"/>
        <v>53.7576371622666</v>
      </c>
      <c r="J9" s="8">
        <f t="shared" si="1"/>
        <v>58.10118741245164</v>
      </c>
      <c r="K9" s="8">
        <f t="shared" si="1"/>
        <v>63.232253630927445</v>
      </c>
      <c r="L9" s="8">
        <f t="shared" si="1"/>
        <v>68.63912631318381</v>
      </c>
      <c r="M9" s="8">
        <f t="shared" si="1"/>
        <v>74.08508436411896</v>
      </c>
      <c r="N9" s="8">
        <f t="shared" si="1"/>
        <v>79.31680206777541</v>
      </c>
      <c r="O9" s="8">
        <f t="shared" si="1"/>
        <v>84.78886662813933</v>
      </c>
      <c r="P9" s="8">
        <f t="shared" si="1"/>
        <v>90.42461390158459</v>
      </c>
      <c r="Q9" s="8">
        <f t="shared" si="1"/>
        <v>95.93248953016891</v>
      </c>
      <c r="R9" s="8">
        <f t="shared" si="1"/>
        <v>101.5030062674521</v>
      </c>
      <c r="S9" s="8">
        <f t="shared" si="1"/>
        <v>107.72012547089251</v>
      </c>
      <c r="T9" s="8">
        <f t="shared" si="1"/>
        <v>114.50003137853643</v>
      </c>
      <c r="U9" s="8">
        <f t="shared" si="1"/>
        <v>121.1625350128375</v>
      </c>
      <c r="V9" s="8">
        <f t="shared" si="1"/>
        <v>128.73303465131497</v>
      </c>
      <c r="W9" s="8">
        <f t="shared" si="1"/>
        <v>137.3818198341</v>
      </c>
      <c r="X9" s="8">
        <f t="shared" si="1"/>
        <v>147.3011016181062</v>
      </c>
      <c r="Y9" s="8">
        <f t="shared" si="1"/>
        <v>157.75411150903216</v>
      </c>
      <c r="Z9" s="8">
        <f t="shared" si="1"/>
        <v>168.9930301471901</v>
      </c>
      <c r="AA9" s="8">
        <f t="shared" si="1"/>
        <v>180.48640899694615</v>
      </c>
      <c r="AB9" s="8">
        <f t="shared" si="1"/>
        <v>191.38937435695243</v>
      </c>
      <c r="AC9" s="8">
        <f t="shared" si="1"/>
        <v>200.16207510469255</v>
      </c>
      <c r="AD9" s="8">
        <f t="shared" si="1"/>
        <v>208.09627883898867</v>
      </c>
      <c r="AE9" s="8">
        <f t="shared" si="1"/>
        <v>216.46559898954027</v>
      </c>
      <c r="AF9" s="8">
        <f t="shared" si="1"/>
        <v>225.870700902524</v>
      </c>
      <c r="AG9" s="8">
        <f t="shared" si="1"/>
        <v>237.8816030744974</v>
      </c>
      <c r="AH9" s="8">
        <f t="shared" si="1"/>
        <v>247.66156575393762</v>
      </c>
    </row>
    <row r="10" spans="1:34" ht="12.75">
      <c r="A10" s="9" t="s">
        <v>43</v>
      </c>
      <c r="O10" s="8">
        <f>O9-N9</f>
        <v>5.472064560363918</v>
      </c>
      <c r="P10" s="8">
        <f aca="true" t="shared" si="2" ref="P10:AH10">P9-O9</f>
        <v>5.635747273445261</v>
      </c>
      <c r="Q10" s="8">
        <f t="shared" si="2"/>
        <v>5.507875628584316</v>
      </c>
      <c r="R10" s="8">
        <f t="shared" si="2"/>
        <v>5.570516737283185</v>
      </c>
      <c r="S10" s="8">
        <f t="shared" si="2"/>
        <v>6.217119203440419</v>
      </c>
      <c r="T10" s="8">
        <f t="shared" si="2"/>
        <v>6.779905907643922</v>
      </c>
      <c r="U10" s="8">
        <f t="shared" si="2"/>
        <v>6.662503634301061</v>
      </c>
      <c r="V10" s="8">
        <f t="shared" si="2"/>
        <v>7.570499638477472</v>
      </c>
      <c r="W10" s="8">
        <f t="shared" si="2"/>
        <v>8.648785182785048</v>
      </c>
      <c r="X10" s="8">
        <f t="shared" si="2"/>
        <v>9.919281784006188</v>
      </c>
      <c r="Y10" s="8">
        <f t="shared" si="2"/>
        <v>10.453009890925955</v>
      </c>
      <c r="Z10" s="8">
        <f t="shared" si="2"/>
        <v>11.23891863815794</v>
      </c>
      <c r="AA10" s="8">
        <f t="shared" si="2"/>
        <v>11.493378849756056</v>
      </c>
      <c r="AB10" s="8">
        <f t="shared" si="2"/>
        <v>10.902965360006277</v>
      </c>
      <c r="AC10" s="8">
        <f t="shared" si="2"/>
        <v>8.772700747740117</v>
      </c>
      <c r="AD10" s="8">
        <f t="shared" si="2"/>
        <v>7.934203734296119</v>
      </c>
      <c r="AE10" s="8">
        <f t="shared" si="2"/>
        <v>8.369320150551602</v>
      </c>
      <c r="AF10" s="8">
        <f t="shared" si="2"/>
        <v>9.405101912983724</v>
      </c>
      <c r="AG10" s="8">
        <f t="shared" si="2"/>
        <v>12.010902171973413</v>
      </c>
      <c r="AH10" s="8">
        <f t="shared" si="2"/>
        <v>9.779962679440217</v>
      </c>
    </row>
    <row r="11" ht="12.75"/>
    <row r="12" ht="12.75">
      <c r="A12" s="9" t="s">
        <v>44</v>
      </c>
    </row>
    <row r="13" ht="12.75">
      <c r="A13" s="9" t="s">
        <v>45</v>
      </c>
    </row>
    <row r="14" spans="1:34" ht="12.75">
      <c r="A14" s="9" t="s">
        <v>37</v>
      </c>
      <c r="C14" s="9" t="s">
        <v>46</v>
      </c>
      <c r="D14" s="9" t="s">
        <v>47</v>
      </c>
      <c r="E14" s="9" t="s">
        <v>52</v>
      </c>
      <c r="F14" s="32">
        <v>322.32829047973064</v>
      </c>
      <c r="G14" s="32">
        <v>337.5312205394456</v>
      </c>
      <c r="H14" s="32">
        <v>355.83871190230246</v>
      </c>
      <c r="I14" s="32">
        <v>381.5142109541736</v>
      </c>
      <c r="J14" s="32">
        <v>412.5241213597898</v>
      </c>
      <c r="K14" s="32">
        <v>425.97609626235163</v>
      </c>
      <c r="L14" s="32">
        <v>442.01426300705407</v>
      </c>
      <c r="M14" s="32">
        <v>459.4059809112802</v>
      </c>
      <c r="N14" s="32">
        <v>478.35751532412314</v>
      </c>
      <c r="O14" s="32">
        <v>498.7764326328542</v>
      </c>
      <c r="P14" s="32">
        <v>500.07395904262887</v>
      </c>
      <c r="Q14" s="32">
        <v>491.59234231747814</v>
      </c>
      <c r="R14" s="32">
        <v>488.29038684490223</v>
      </c>
      <c r="S14" s="32">
        <v>491.6557106364421</v>
      </c>
      <c r="T14" s="32">
        <v>513.9214123</v>
      </c>
      <c r="U14" s="32">
        <v>531.7644487999999</v>
      </c>
      <c r="V14" s="32">
        <v>559.4540328</v>
      </c>
      <c r="W14" s="32">
        <v>581.3562992999998</v>
      </c>
      <c r="X14" s="32">
        <v>617.3031212999999</v>
      </c>
      <c r="Y14" s="32">
        <v>661.4935707999998</v>
      </c>
      <c r="Z14" s="32">
        <v>686.7319712999999</v>
      </c>
      <c r="AA14" s="32">
        <v>697.9461620000001</v>
      </c>
      <c r="AB14" s="32">
        <v>719.6658032999999</v>
      </c>
      <c r="AC14" s="32">
        <v>740.7194449999997</v>
      </c>
      <c r="AD14" s="32">
        <v>781.5067653000001</v>
      </c>
      <c r="AE14" s="32">
        <v>828.1628885</v>
      </c>
      <c r="AF14" s="32">
        <v>876.7989563000001</v>
      </c>
      <c r="AG14" s="32">
        <v>917.2810188046443</v>
      </c>
      <c r="AH14" s="32">
        <v>925.2727356326583</v>
      </c>
    </row>
    <row r="15" spans="1:35" ht="12.75">
      <c r="A15" s="9" t="s">
        <v>48</v>
      </c>
      <c r="C15" s="9" t="s">
        <v>46</v>
      </c>
      <c r="E15" s="9" t="s">
        <v>36</v>
      </c>
      <c r="F15" s="18">
        <v>0.5221999764456483</v>
      </c>
      <c r="G15" s="18">
        <v>0.5540164778578784</v>
      </c>
      <c r="H15" s="18">
        <v>0.5759307615246917</v>
      </c>
      <c r="I15" s="18">
        <v>0.5975609756097561</v>
      </c>
      <c r="J15" s="18">
        <v>0.6158102301489199</v>
      </c>
      <c r="K15" s="18">
        <v>0.6295795688980579</v>
      </c>
      <c r="L15" s="18">
        <v>0.6480396077836467</v>
      </c>
      <c r="M15" s="18">
        <v>0.6704334693444969</v>
      </c>
      <c r="N15" s="18">
        <v>0.6958234729772945</v>
      </c>
      <c r="O15" s="18">
        <v>0.7227287569386883</v>
      </c>
      <c r="P15" s="18">
        <v>0.7483442040847164</v>
      </c>
      <c r="Q15" s="18">
        <v>0.7661162660432039</v>
      </c>
      <c r="R15" s="18">
        <v>0.7829334406552952</v>
      </c>
      <c r="S15" s="18">
        <v>0.7993110269790918</v>
      </c>
      <c r="T15" s="18">
        <v>0.8158959633698821</v>
      </c>
      <c r="U15" s="18">
        <v>0.8314888798683957</v>
      </c>
      <c r="V15" s="18">
        <v>0.8462364052661706</v>
      </c>
      <c r="W15" s="18">
        <v>0.855802933286338</v>
      </c>
      <c r="X15" s="18">
        <v>0.8683515231862273</v>
      </c>
      <c r="Y15" s="18">
        <v>0.8871402837400633</v>
      </c>
      <c r="Z15" s="18">
        <v>0.9072525952784106</v>
      </c>
      <c r="AA15" s="18">
        <v>0.9219853216440456</v>
      </c>
      <c r="AB15" s="18">
        <v>0.9414066810985187</v>
      </c>
      <c r="AC15" s="18">
        <v>0.9678737263524045</v>
      </c>
      <c r="AD15" s="18">
        <v>1</v>
      </c>
      <c r="AE15" s="18">
        <v>1.032259815170874</v>
      </c>
      <c r="AF15" s="18">
        <v>1.0621861781443047</v>
      </c>
      <c r="AG15" s="18">
        <v>1.0856748007207648</v>
      </c>
      <c r="AH15" s="18">
        <v>1.0972204634671394</v>
      </c>
      <c r="AI15" s="18"/>
    </row>
    <row r="16" spans="1:34" ht="12.75">
      <c r="A16" s="9" t="s">
        <v>37</v>
      </c>
      <c r="E16" s="9" t="s">
        <v>53</v>
      </c>
      <c r="F16" s="32">
        <f>F14/$Y$15</f>
        <v>363.33407059460563</v>
      </c>
      <c r="G16" s="32">
        <f aca="true" t="shared" si="3" ref="G16:AH16">G14/$Y$15</f>
        <v>380.4710785045852</v>
      </c>
      <c r="H16" s="32">
        <f t="shared" si="3"/>
        <v>401.107602060561</v>
      </c>
      <c r="I16" s="32">
        <f t="shared" si="3"/>
        <v>430.0494723853159</v>
      </c>
      <c r="J16" s="32">
        <f t="shared" si="3"/>
        <v>465.0043842228018</v>
      </c>
      <c r="K16" s="32">
        <f t="shared" si="3"/>
        <v>480.16768494210874</v>
      </c>
      <c r="L16" s="32">
        <f t="shared" si="3"/>
        <v>498.2461862103497</v>
      </c>
      <c r="M16" s="32">
        <f t="shared" si="3"/>
        <v>517.8504339522119</v>
      </c>
      <c r="N16" s="32">
        <f t="shared" si="3"/>
        <v>539.2129340665634</v>
      </c>
      <c r="O16" s="32">
        <f t="shared" si="3"/>
        <v>562.2294937730483</v>
      </c>
      <c r="P16" s="32">
        <f t="shared" si="3"/>
        <v>563.6920881716528</v>
      </c>
      <c r="Q16" s="32">
        <f t="shared" si="3"/>
        <v>554.1314618754448</v>
      </c>
      <c r="R16" s="32">
        <f t="shared" si="3"/>
        <v>550.40944007901</v>
      </c>
      <c r="S16" s="32">
        <f t="shared" si="3"/>
        <v>554.202891749756</v>
      </c>
      <c r="T16" s="32">
        <f t="shared" si="3"/>
        <v>579.3011789898402</v>
      </c>
      <c r="U16" s="32">
        <f t="shared" si="3"/>
        <v>599.4141609240795</v>
      </c>
      <c r="V16" s="32">
        <f t="shared" si="3"/>
        <v>630.6263429290096</v>
      </c>
      <c r="W16" s="32">
        <f t="shared" si="3"/>
        <v>655.3149597142409</v>
      </c>
      <c r="X16" s="32">
        <f t="shared" si="3"/>
        <v>695.8348444031125</v>
      </c>
      <c r="Y16" s="32">
        <f t="shared" si="3"/>
        <v>745.6470897829513</v>
      </c>
      <c r="Z16" s="32">
        <f t="shared" si="3"/>
        <v>774.0962549968208</v>
      </c>
      <c r="AA16" s="32">
        <f t="shared" si="3"/>
        <v>786.7370863349296</v>
      </c>
      <c r="AB16" s="32">
        <f t="shared" si="3"/>
        <v>811.2198448096465</v>
      </c>
      <c r="AC16" s="32">
        <f t="shared" si="3"/>
        <v>834.9518769198788</v>
      </c>
      <c r="AD16" s="32">
        <f t="shared" si="3"/>
        <v>880.9280557132108</v>
      </c>
      <c r="AE16" s="32">
        <f t="shared" si="3"/>
        <v>933.5196514902665</v>
      </c>
      <c r="AF16" s="32">
        <f t="shared" si="3"/>
        <v>988.3430753516619</v>
      </c>
      <c r="AG16" s="32">
        <f t="shared" si="3"/>
        <v>1033.9751622342205</v>
      </c>
      <c r="AH16" s="32">
        <f t="shared" si="3"/>
        <v>1042.983564822278</v>
      </c>
    </row>
    <row r="17" spans="1:30" ht="12.75">
      <c r="A17" s="9" t="s">
        <v>49</v>
      </c>
      <c r="C17" s="9" t="s">
        <v>46</v>
      </c>
      <c r="E17" s="9" t="s">
        <v>50</v>
      </c>
      <c r="AD17" s="19">
        <v>8.590082555</v>
      </c>
    </row>
    <row r="18" spans="1:34" ht="12.75">
      <c r="A18" s="9" t="s">
        <v>37</v>
      </c>
      <c r="E18" s="9" t="s">
        <v>51</v>
      </c>
      <c r="F18" s="14">
        <f aca="true" t="shared" si="4" ref="F18:AH18">F16*$AD$17</f>
        <v>3121.0696614518606</v>
      </c>
      <c r="G18" s="14">
        <f t="shared" si="4"/>
        <v>3268.277974144273</v>
      </c>
      <c r="H18" s="14">
        <f t="shared" si="4"/>
        <v>3445.5474151383073</v>
      </c>
      <c r="I18" s="14">
        <f t="shared" si="4"/>
        <v>3694.1604705240566</v>
      </c>
      <c r="J18" s="14">
        <f t="shared" si="4"/>
        <v>3994.426048910807</v>
      </c>
      <c r="K18" s="14">
        <f t="shared" si="4"/>
        <v>4124.680053895944</v>
      </c>
      <c r="L18" s="14">
        <f t="shared" si="4"/>
        <v>4279.975872260807</v>
      </c>
      <c r="M18" s="14">
        <f t="shared" si="4"/>
        <v>4448.377978792076</v>
      </c>
      <c r="N18" s="14">
        <f t="shared" si="4"/>
        <v>4631.883618355552</v>
      </c>
      <c r="O18" s="14">
        <f t="shared" si="4"/>
        <v>4829.597766366343</v>
      </c>
      <c r="P18" s="14">
        <f t="shared" si="4"/>
        <v>4842.161572994837</v>
      </c>
      <c r="Q18" s="14">
        <f t="shared" si="4"/>
        <v>4760.035003832906</v>
      </c>
      <c r="R18" s="14">
        <f t="shared" si="4"/>
        <v>4728.062529330022</v>
      </c>
      <c r="S18" s="14">
        <f t="shared" si="4"/>
        <v>4760.648592350132</v>
      </c>
      <c r="T18" s="14">
        <f t="shared" si="4"/>
        <v>4976.244951731559</v>
      </c>
      <c r="U18" s="14">
        <f t="shared" si="4"/>
        <v>5149.0171269738985</v>
      </c>
      <c r="V18" s="14">
        <f t="shared" si="4"/>
        <v>5417.132347117934</v>
      </c>
      <c r="W18" s="14">
        <f t="shared" si="4"/>
        <v>5629.209603471829</v>
      </c>
      <c r="X18" s="14">
        <f t="shared" si="4"/>
        <v>5977.278758068316</v>
      </c>
      <c r="Y18" s="14">
        <f t="shared" si="4"/>
        <v>6405.170058131049</v>
      </c>
      <c r="Z18" s="14">
        <f t="shared" si="4"/>
        <v>6649.550735939022</v>
      </c>
      <c r="AA18" s="14">
        <f t="shared" si="4"/>
        <v>6758.136520697208</v>
      </c>
      <c r="AB18" s="14">
        <f t="shared" si="4"/>
        <v>6968.445437169152</v>
      </c>
      <c r="AC18" s="14">
        <f t="shared" si="4"/>
        <v>7172.305552193959</v>
      </c>
      <c r="AD18" s="14">
        <f t="shared" si="4"/>
        <v>7567.244723592121</v>
      </c>
      <c r="AE18" s="14">
        <f t="shared" si="4"/>
        <v>8019.010873016218</v>
      </c>
      <c r="AF18" s="14">
        <f t="shared" si="4"/>
        <v>8489.948609933363</v>
      </c>
      <c r="AG18" s="14">
        <f t="shared" si="4"/>
        <v>8881.932003411473</v>
      </c>
      <c r="AH18" s="14">
        <f t="shared" si="4"/>
        <v>8959.314925331562</v>
      </c>
    </row>
    <row r="19" spans="1:34" ht="12.75">
      <c r="A19" s="9" t="s">
        <v>57</v>
      </c>
      <c r="D19" s="9" t="s">
        <v>41</v>
      </c>
      <c r="E19" s="9" t="s">
        <v>25</v>
      </c>
      <c r="F19" s="14">
        <f>F18/(0.051927+0.15)</f>
        <v>15456.425646158566</v>
      </c>
      <c r="G19" s="14">
        <f>F19*0.85+G18</f>
        <v>16406.239773379053</v>
      </c>
      <c r="H19" s="14">
        <f aca="true" t="shared" si="5" ref="H19:AH19">G19*0.85+H18</f>
        <v>17390.8512225105</v>
      </c>
      <c r="I19" s="14">
        <f t="shared" si="5"/>
        <v>18476.38400965798</v>
      </c>
      <c r="J19" s="14">
        <f t="shared" si="5"/>
        <v>19699.35245712009</v>
      </c>
      <c r="K19" s="14">
        <f t="shared" si="5"/>
        <v>20869.12964244802</v>
      </c>
      <c r="L19" s="14">
        <f t="shared" si="5"/>
        <v>22018.736068341623</v>
      </c>
      <c r="M19" s="14">
        <f t="shared" si="5"/>
        <v>23164.303636882454</v>
      </c>
      <c r="N19" s="14">
        <f t="shared" si="5"/>
        <v>24321.541709705634</v>
      </c>
      <c r="O19" s="14">
        <f t="shared" si="5"/>
        <v>25502.908219616133</v>
      </c>
      <c r="P19" s="14">
        <f t="shared" si="5"/>
        <v>26519.633559668546</v>
      </c>
      <c r="Q19" s="14">
        <f t="shared" si="5"/>
        <v>27301.723529551167</v>
      </c>
      <c r="R19" s="14">
        <f t="shared" si="5"/>
        <v>27934.527529448515</v>
      </c>
      <c r="S19" s="14">
        <f t="shared" si="5"/>
        <v>28504.99699238137</v>
      </c>
      <c r="T19" s="14">
        <f t="shared" si="5"/>
        <v>29205.492395255722</v>
      </c>
      <c r="U19" s="14">
        <f t="shared" si="5"/>
        <v>29973.685662941265</v>
      </c>
      <c r="V19" s="14">
        <f t="shared" si="5"/>
        <v>30894.765160618008</v>
      </c>
      <c r="W19" s="14">
        <f t="shared" si="5"/>
        <v>31889.759989997132</v>
      </c>
      <c r="X19" s="14">
        <f t="shared" si="5"/>
        <v>33083.57474956588</v>
      </c>
      <c r="Y19" s="14">
        <f t="shared" si="5"/>
        <v>34526.20859526205</v>
      </c>
      <c r="Z19" s="14">
        <f t="shared" si="5"/>
        <v>35996.828041911765</v>
      </c>
      <c r="AA19" s="14">
        <f t="shared" si="5"/>
        <v>37355.44035632221</v>
      </c>
      <c r="AB19" s="14">
        <f t="shared" si="5"/>
        <v>38720.56974004303</v>
      </c>
      <c r="AC19" s="14">
        <f t="shared" si="5"/>
        <v>40084.78983123053</v>
      </c>
      <c r="AD19" s="14">
        <f t="shared" si="5"/>
        <v>41639.31608013807</v>
      </c>
      <c r="AE19" s="14">
        <f t="shared" si="5"/>
        <v>43412.42954113358</v>
      </c>
      <c r="AF19" s="14">
        <f t="shared" si="5"/>
        <v>45390.5137198969</v>
      </c>
      <c r="AG19" s="14">
        <f t="shared" si="5"/>
        <v>47463.86866532384</v>
      </c>
      <c r="AH19" s="14">
        <f t="shared" si="5"/>
        <v>49303.60329085683</v>
      </c>
    </row>
    <row r="20" spans="1:34" ht="12.75">
      <c r="A20" s="9" t="s">
        <v>54</v>
      </c>
      <c r="E20" s="9" t="s">
        <v>25</v>
      </c>
      <c r="O20" s="14">
        <f>O19-N19</f>
        <v>1181.3665099104983</v>
      </c>
      <c r="P20" s="14">
        <f aca="true" t="shared" si="6" ref="P20:AH20">P19-O19</f>
        <v>1016.7253400524132</v>
      </c>
      <c r="Q20" s="14">
        <f t="shared" si="6"/>
        <v>782.0899698826215</v>
      </c>
      <c r="R20" s="14">
        <f t="shared" si="6"/>
        <v>632.8039998973472</v>
      </c>
      <c r="S20" s="14">
        <f t="shared" si="6"/>
        <v>570.4694629328551</v>
      </c>
      <c r="T20" s="14">
        <f t="shared" si="6"/>
        <v>700.4954028743523</v>
      </c>
      <c r="U20" s="14">
        <f t="shared" si="6"/>
        <v>768.1932676855431</v>
      </c>
      <c r="V20" s="14">
        <f t="shared" si="6"/>
        <v>921.0794976767429</v>
      </c>
      <c r="W20" s="14">
        <f t="shared" si="6"/>
        <v>994.994829379124</v>
      </c>
      <c r="X20" s="14">
        <f t="shared" si="6"/>
        <v>1193.8147595687478</v>
      </c>
      <c r="Y20" s="14">
        <f t="shared" si="6"/>
        <v>1442.6338456961676</v>
      </c>
      <c r="Z20" s="14">
        <f t="shared" si="6"/>
        <v>1470.6194466497182</v>
      </c>
      <c r="AA20" s="14">
        <f t="shared" si="6"/>
        <v>1358.6123144104422</v>
      </c>
      <c r="AB20" s="14">
        <f t="shared" si="6"/>
        <v>1365.1293837208214</v>
      </c>
      <c r="AC20" s="14">
        <f t="shared" si="6"/>
        <v>1364.2200911875043</v>
      </c>
      <c r="AD20" s="14">
        <f t="shared" si="6"/>
        <v>1554.5262489075394</v>
      </c>
      <c r="AE20" s="14">
        <f t="shared" si="6"/>
        <v>1773.1134609955043</v>
      </c>
      <c r="AF20" s="14">
        <f t="shared" si="6"/>
        <v>1978.0841787633253</v>
      </c>
      <c r="AG20" s="14">
        <f t="shared" si="6"/>
        <v>2073.354945426938</v>
      </c>
      <c r="AH20" s="14">
        <f t="shared" si="6"/>
        <v>1839.7346255329903</v>
      </c>
    </row>
    <row r="21" spans="1:34" ht="12.75">
      <c r="A21" s="9" t="s">
        <v>55</v>
      </c>
      <c r="D21" s="9" t="s">
        <v>61</v>
      </c>
      <c r="E21" s="9" t="s">
        <v>25</v>
      </c>
      <c r="O21" s="32">
        <f>0.5*O20</f>
        <v>590.6832549552491</v>
      </c>
      <c r="P21" s="32">
        <f aca="true" t="shared" si="7" ref="P21:AH21">0.5*P20</f>
        <v>508.3626700262066</v>
      </c>
      <c r="Q21" s="32">
        <f t="shared" si="7"/>
        <v>391.04498494131076</v>
      </c>
      <c r="R21" s="32">
        <f t="shared" si="7"/>
        <v>316.4019999486736</v>
      </c>
      <c r="S21" s="32">
        <f t="shared" si="7"/>
        <v>285.23473146642755</v>
      </c>
      <c r="T21" s="32">
        <f t="shared" si="7"/>
        <v>350.24770143717615</v>
      </c>
      <c r="U21" s="32">
        <f t="shared" si="7"/>
        <v>384.09663384277155</v>
      </c>
      <c r="V21" s="32">
        <f t="shared" si="7"/>
        <v>460.53974883837145</v>
      </c>
      <c r="W21" s="32">
        <f t="shared" si="7"/>
        <v>497.497414689562</v>
      </c>
      <c r="X21" s="32">
        <f t="shared" si="7"/>
        <v>596.9073797843739</v>
      </c>
      <c r="Y21" s="32">
        <f t="shared" si="7"/>
        <v>721.3169228480838</v>
      </c>
      <c r="Z21" s="32">
        <f t="shared" si="7"/>
        <v>735.3097233248591</v>
      </c>
      <c r="AA21" s="32">
        <f t="shared" si="7"/>
        <v>679.3061572052211</v>
      </c>
      <c r="AB21" s="32">
        <f t="shared" si="7"/>
        <v>682.5646918604107</v>
      </c>
      <c r="AC21" s="32">
        <f t="shared" si="7"/>
        <v>682.1100455937521</v>
      </c>
      <c r="AD21" s="32">
        <f t="shared" si="7"/>
        <v>777.2631244537697</v>
      </c>
      <c r="AE21" s="32">
        <f t="shared" si="7"/>
        <v>886.5567304977521</v>
      </c>
      <c r="AF21" s="32">
        <f t="shared" si="7"/>
        <v>989.0420893816627</v>
      </c>
      <c r="AG21" s="32">
        <f t="shared" si="7"/>
        <v>1036.677472713469</v>
      </c>
      <c r="AH21" s="32">
        <f t="shared" si="7"/>
        <v>919.8673127664952</v>
      </c>
    </row>
    <row r="22" spans="1:34" ht="12.75">
      <c r="A22" s="9" t="s">
        <v>56</v>
      </c>
      <c r="D22" s="9" t="s">
        <v>62</v>
      </c>
      <c r="E22" s="9" t="s">
        <v>25</v>
      </c>
      <c r="O22" s="8">
        <f>O21*0.004553</f>
        <v>2.689380859811249</v>
      </c>
      <c r="P22" s="8">
        <f aca="true" t="shared" si="8" ref="P22:AH22">P21*0.004553</f>
        <v>2.3145752366293184</v>
      </c>
      <c r="Q22" s="8">
        <f t="shared" si="8"/>
        <v>1.7804278164377878</v>
      </c>
      <c r="R22" s="8">
        <f t="shared" si="8"/>
        <v>1.4405783057663109</v>
      </c>
      <c r="S22" s="8">
        <f t="shared" si="8"/>
        <v>1.2986737323666446</v>
      </c>
      <c r="T22" s="8">
        <f t="shared" si="8"/>
        <v>1.594677784643463</v>
      </c>
      <c r="U22" s="8">
        <f t="shared" si="8"/>
        <v>1.7487919738861388</v>
      </c>
      <c r="V22" s="8">
        <f t="shared" si="8"/>
        <v>2.096837476461105</v>
      </c>
      <c r="W22" s="8">
        <f t="shared" si="8"/>
        <v>2.2651057290815757</v>
      </c>
      <c r="X22" s="8">
        <f t="shared" si="8"/>
        <v>2.7177193001582545</v>
      </c>
      <c r="Y22" s="8">
        <f t="shared" si="8"/>
        <v>3.2841559497273254</v>
      </c>
      <c r="Z22" s="8">
        <f t="shared" si="8"/>
        <v>3.3478651702980833</v>
      </c>
      <c r="AA22" s="8">
        <f t="shared" si="8"/>
        <v>3.0928809337553713</v>
      </c>
      <c r="AB22" s="8">
        <f t="shared" si="8"/>
        <v>3.10771704204045</v>
      </c>
      <c r="AC22" s="8">
        <f t="shared" si="8"/>
        <v>3.105647037588353</v>
      </c>
      <c r="AD22" s="8">
        <f t="shared" si="8"/>
        <v>3.5388790056380133</v>
      </c>
      <c r="AE22" s="8">
        <f t="shared" si="8"/>
        <v>4.036492793956265</v>
      </c>
      <c r="AF22" s="8">
        <f t="shared" si="8"/>
        <v>4.50310863295471</v>
      </c>
      <c r="AG22" s="8">
        <f t="shared" si="8"/>
        <v>4.719992533264423</v>
      </c>
      <c r="AH22" s="8">
        <f t="shared" si="8"/>
        <v>4.188155875025852</v>
      </c>
    </row>
    <row r="24" ht="12.75">
      <c r="A24" s="9" t="s">
        <v>63</v>
      </c>
    </row>
    <row r="25" ht="12.75">
      <c r="A25" s="9" t="s">
        <v>100</v>
      </c>
    </row>
    <row r="26" spans="1:34" ht="12.75">
      <c r="A26" s="9" t="s">
        <v>99</v>
      </c>
      <c r="C26" s="9" t="s">
        <v>46</v>
      </c>
      <c r="E26" s="9" t="s">
        <v>52</v>
      </c>
      <c r="F26" s="14">
        <v>2615.4</v>
      </c>
      <c r="G26" s="31">
        <v>2805.526</v>
      </c>
      <c r="H26" s="31">
        <v>2995.652</v>
      </c>
      <c r="I26" s="14">
        <v>3185.778</v>
      </c>
      <c r="J26" s="31">
        <v>3568.7995</v>
      </c>
      <c r="K26" s="14">
        <v>3951.821</v>
      </c>
      <c r="L26" s="14">
        <v>3976.882</v>
      </c>
      <c r="M26" s="14">
        <v>4251.159</v>
      </c>
      <c r="N26" s="31">
        <v>4477.85</v>
      </c>
      <c r="O26" s="14">
        <v>4704.541</v>
      </c>
      <c r="P26" s="31">
        <v>5192.483</v>
      </c>
      <c r="Q26" s="14">
        <v>5680.425</v>
      </c>
      <c r="R26" s="31">
        <v>6043.8585</v>
      </c>
      <c r="S26" s="14">
        <v>6407.292</v>
      </c>
      <c r="T26" s="31">
        <v>6852.848</v>
      </c>
      <c r="U26" s="14">
        <v>7298.404</v>
      </c>
      <c r="V26" s="31">
        <v>7299.939</v>
      </c>
      <c r="W26" s="14">
        <v>7301.474</v>
      </c>
      <c r="X26" s="31">
        <v>7621.6175</v>
      </c>
      <c r="Y26" s="14">
        <v>7941.761</v>
      </c>
      <c r="Z26" s="31">
        <v>8724.854</v>
      </c>
      <c r="AA26" s="14">
        <v>9507.947</v>
      </c>
      <c r="AB26" s="31">
        <v>10100.2205</v>
      </c>
      <c r="AC26" s="14">
        <v>10692.494</v>
      </c>
      <c r="AD26" s="31">
        <v>11962.0605</v>
      </c>
      <c r="AE26" s="14">
        <v>13231.627</v>
      </c>
      <c r="AF26" s="31">
        <v>14310.89</v>
      </c>
      <c r="AG26" s="14">
        <v>15390.153</v>
      </c>
      <c r="AH26" s="31">
        <v>15523.843527585714</v>
      </c>
    </row>
    <row r="27" spans="1:34" ht="12.75">
      <c r="A27" s="9" t="s">
        <v>66</v>
      </c>
      <c r="C27" s="9" t="s">
        <v>46</v>
      </c>
      <c r="E27" s="9" t="s">
        <v>52</v>
      </c>
      <c r="F27" s="31">
        <v>2657.3609463256926</v>
      </c>
      <c r="G27" s="31">
        <v>2748.1360406262597</v>
      </c>
      <c r="H27" s="14">
        <v>2842.012</v>
      </c>
      <c r="I27" s="14">
        <v>2935.276</v>
      </c>
      <c r="J27" s="14">
        <v>3082.983</v>
      </c>
      <c r="K27" s="14">
        <v>3145.488</v>
      </c>
      <c r="L27" s="14">
        <v>3243.406</v>
      </c>
      <c r="M27" s="14">
        <v>3300.265</v>
      </c>
      <c r="N27" s="14">
        <v>3534.718</v>
      </c>
      <c r="O27" s="31">
        <v>3595.3375</v>
      </c>
      <c r="P27" s="14">
        <v>3655.957</v>
      </c>
      <c r="Q27" s="31">
        <v>3757.868</v>
      </c>
      <c r="R27" s="14">
        <v>3859.779</v>
      </c>
      <c r="S27" s="14">
        <v>3961.035</v>
      </c>
      <c r="T27" s="14">
        <v>4105.486</v>
      </c>
      <c r="U27" s="14">
        <v>4405.171</v>
      </c>
      <c r="V27" s="14">
        <v>4742.362</v>
      </c>
      <c r="W27" s="14">
        <v>4908.419</v>
      </c>
      <c r="X27" s="14">
        <v>5283.736</v>
      </c>
      <c r="Y27" s="14">
        <v>5570.606</v>
      </c>
      <c r="Z27" s="14">
        <v>5908.417</v>
      </c>
      <c r="AA27" s="14">
        <v>5606.099</v>
      </c>
      <c r="AB27" s="14">
        <v>5472.644</v>
      </c>
      <c r="AC27" s="14">
        <v>5590.125</v>
      </c>
      <c r="AD27" s="14">
        <v>5609.804</v>
      </c>
      <c r="AE27" s="14">
        <v>5854.048</v>
      </c>
      <c r="AF27" s="14">
        <v>6136.09</v>
      </c>
      <c r="AG27" s="14">
        <v>6400.873</v>
      </c>
      <c r="AH27" s="14">
        <v>6232.094</v>
      </c>
    </row>
    <row r="28" spans="1:34" ht="12.75">
      <c r="A28" s="9" t="s">
        <v>67</v>
      </c>
      <c r="C28" s="9" t="s">
        <v>46</v>
      </c>
      <c r="E28" s="9" t="s">
        <v>52</v>
      </c>
      <c r="F28" s="14">
        <v>6297.059</v>
      </c>
      <c r="G28" s="14">
        <v>6834.296</v>
      </c>
      <c r="H28" s="14">
        <v>6877.359</v>
      </c>
      <c r="I28" s="14">
        <v>7490.894</v>
      </c>
      <c r="J28" s="14">
        <v>8081.293</v>
      </c>
      <c r="K28" s="14">
        <v>8479.061</v>
      </c>
      <c r="L28" s="14">
        <v>8545.817</v>
      </c>
      <c r="M28" s="14">
        <v>8816.111</v>
      </c>
      <c r="N28" s="14">
        <v>9468.588</v>
      </c>
      <c r="O28" s="14">
        <v>9891.601</v>
      </c>
      <c r="P28" s="14">
        <v>10085.273</v>
      </c>
      <c r="Q28" s="14">
        <v>10479.01</v>
      </c>
      <c r="R28" s="14">
        <v>11101.057</v>
      </c>
      <c r="S28" s="14">
        <v>12018.094</v>
      </c>
      <c r="T28" s="14">
        <v>12115.514</v>
      </c>
      <c r="U28" s="14">
        <v>11976.439</v>
      </c>
      <c r="V28" s="14">
        <v>12536.29</v>
      </c>
      <c r="W28" s="14">
        <v>13839.162</v>
      </c>
      <c r="X28" s="14">
        <v>14911.366</v>
      </c>
      <c r="Y28" s="14">
        <v>16689.597</v>
      </c>
      <c r="Z28" s="14">
        <v>18573.955</v>
      </c>
      <c r="AA28" s="14">
        <v>18693.432</v>
      </c>
      <c r="AB28" s="14">
        <v>18987.1</v>
      </c>
      <c r="AC28" s="14">
        <v>19959.538</v>
      </c>
      <c r="AD28" s="14">
        <v>20289.625</v>
      </c>
      <c r="AE28" s="14">
        <v>20093.508</v>
      </c>
      <c r="AF28" s="14">
        <v>19861.263</v>
      </c>
      <c r="AG28" s="14">
        <v>19297.761</v>
      </c>
      <c r="AH28" s="14">
        <v>19959.673</v>
      </c>
    </row>
    <row r="29" spans="1:34" ht="12.75">
      <c r="A29" s="9" t="s">
        <v>69</v>
      </c>
      <c r="C29" s="9" t="s">
        <v>46</v>
      </c>
      <c r="E29" s="9" t="s">
        <v>52</v>
      </c>
      <c r="F29" s="14">
        <v>942.773</v>
      </c>
      <c r="G29" s="31">
        <v>1040.307</v>
      </c>
      <c r="H29" s="14">
        <v>1137.841</v>
      </c>
      <c r="I29" s="14">
        <v>1291.293</v>
      </c>
      <c r="J29" s="14">
        <v>1414.387</v>
      </c>
      <c r="K29" s="14">
        <v>1532.537</v>
      </c>
      <c r="L29" s="14">
        <v>1673.694</v>
      </c>
      <c r="M29" s="14">
        <v>1793.487</v>
      </c>
      <c r="N29" s="14">
        <v>1920.603</v>
      </c>
      <c r="O29" s="14">
        <v>2008.278</v>
      </c>
      <c r="P29" s="14">
        <v>2044.597</v>
      </c>
      <c r="Q29" s="14">
        <v>2068.998</v>
      </c>
      <c r="R29" s="14">
        <v>2086.391</v>
      </c>
      <c r="S29" s="14">
        <v>2295.88</v>
      </c>
      <c r="T29" s="14">
        <v>2376.268</v>
      </c>
      <c r="U29" s="14">
        <v>2748.622</v>
      </c>
      <c r="V29" s="14">
        <v>3126.695</v>
      </c>
      <c r="W29" s="14">
        <v>3491.356</v>
      </c>
      <c r="X29" s="14">
        <v>3999.844</v>
      </c>
      <c r="Y29" s="14">
        <v>4444.687</v>
      </c>
      <c r="Z29" s="14">
        <v>4506.417</v>
      </c>
      <c r="AA29" s="14">
        <v>4653.255</v>
      </c>
      <c r="AB29" s="14">
        <v>4854.563</v>
      </c>
      <c r="AC29" s="14">
        <v>5070.331</v>
      </c>
      <c r="AD29" s="14">
        <v>5258.756</v>
      </c>
      <c r="AE29" s="14">
        <v>5488.198</v>
      </c>
      <c r="AF29" s="14">
        <v>5773.961</v>
      </c>
      <c r="AG29" s="14">
        <v>6241.966</v>
      </c>
      <c r="AH29" s="14">
        <v>6112.103</v>
      </c>
    </row>
    <row r="30" spans="1:34" ht="12.75">
      <c r="A30" s="9" t="s">
        <v>70</v>
      </c>
      <c r="C30" s="9" t="s">
        <v>46</v>
      </c>
      <c r="E30" s="9" t="s">
        <v>52</v>
      </c>
      <c r="F30" s="14">
        <v>19100.874</v>
      </c>
      <c r="G30" s="14">
        <v>20431.314</v>
      </c>
      <c r="H30" s="14">
        <v>21108.209</v>
      </c>
      <c r="I30" s="14">
        <v>22354.84</v>
      </c>
      <c r="J30" s="14">
        <v>23324.416</v>
      </c>
      <c r="K30" s="14">
        <v>23690.641</v>
      </c>
      <c r="L30" s="14">
        <v>24699.217</v>
      </c>
      <c r="M30" s="14">
        <v>25792.483</v>
      </c>
      <c r="N30" s="14">
        <v>27436.216</v>
      </c>
      <c r="O30" s="14">
        <v>29264.65</v>
      </c>
      <c r="P30" s="14">
        <v>29616.543</v>
      </c>
      <c r="Q30" s="14">
        <v>30114.614</v>
      </c>
      <c r="R30" s="14">
        <v>30415.661</v>
      </c>
      <c r="S30" s="14">
        <v>30329.852</v>
      </c>
      <c r="T30" s="14">
        <v>30540.204</v>
      </c>
      <c r="U30" s="14">
        <v>30644.416</v>
      </c>
      <c r="V30" s="14">
        <v>30250.315</v>
      </c>
      <c r="W30" s="14">
        <v>30588.25</v>
      </c>
      <c r="X30" s="14">
        <v>31880.153</v>
      </c>
      <c r="Y30" s="14">
        <v>32957.125</v>
      </c>
      <c r="Z30" s="14">
        <v>34335.847</v>
      </c>
      <c r="AA30" s="14">
        <v>35209.91</v>
      </c>
      <c r="AB30" s="14">
        <v>34602.263</v>
      </c>
      <c r="AC30" s="14">
        <v>35167.786</v>
      </c>
      <c r="AD30" s="14">
        <v>34983.531</v>
      </c>
      <c r="AE30" s="14">
        <v>35749.713</v>
      </c>
      <c r="AF30" s="14">
        <v>36169.952</v>
      </c>
      <c r="AG30" s="14">
        <v>36828.371</v>
      </c>
      <c r="AH30" s="14">
        <v>37554.774</v>
      </c>
    </row>
    <row r="31" spans="1:34" ht="12.75">
      <c r="A31" s="9" t="s">
        <v>72</v>
      </c>
      <c r="C31" s="9" t="s">
        <v>46</v>
      </c>
      <c r="E31" s="9" t="s">
        <v>52</v>
      </c>
      <c r="F31" s="14">
        <v>224.977</v>
      </c>
      <c r="G31" s="31">
        <v>252.734</v>
      </c>
      <c r="H31" s="31">
        <v>280.491</v>
      </c>
      <c r="I31" s="31">
        <v>308.248</v>
      </c>
      <c r="J31" s="31">
        <v>336.005</v>
      </c>
      <c r="K31" s="14">
        <v>363.762</v>
      </c>
      <c r="L31" s="31">
        <v>385.445</v>
      </c>
      <c r="M31" s="14">
        <v>407.128</v>
      </c>
      <c r="N31" s="14">
        <v>528.383</v>
      </c>
      <c r="O31" s="31">
        <v>529.411</v>
      </c>
      <c r="P31" s="14">
        <v>530.439</v>
      </c>
      <c r="Q31" s="31">
        <v>606.088</v>
      </c>
      <c r="R31" s="14">
        <v>681.737</v>
      </c>
      <c r="S31" s="31">
        <v>708.895</v>
      </c>
      <c r="T31" s="14">
        <v>736.053</v>
      </c>
      <c r="U31" s="31">
        <v>774.7985</v>
      </c>
      <c r="V31" s="14">
        <v>813.544</v>
      </c>
      <c r="W31" s="31">
        <v>986.4235</v>
      </c>
      <c r="X31" s="14">
        <v>1159.303</v>
      </c>
      <c r="Y31" s="31">
        <v>1188.581</v>
      </c>
      <c r="Z31" s="14">
        <v>1217.859</v>
      </c>
      <c r="AA31" s="31">
        <v>1259.648</v>
      </c>
      <c r="AB31" s="14">
        <v>1301.437</v>
      </c>
      <c r="AC31" s="14">
        <v>1320.67</v>
      </c>
      <c r="AD31" s="14">
        <v>1450.615</v>
      </c>
      <c r="AE31" s="14">
        <v>1490.909</v>
      </c>
      <c r="AF31" s="14">
        <v>1551.769</v>
      </c>
      <c r="AG31" s="31">
        <v>1650.9269426243368</v>
      </c>
      <c r="AH31" s="31">
        <v>1665.2681446880795</v>
      </c>
    </row>
    <row r="32" spans="1:34" ht="12.75">
      <c r="A32" s="9" t="s">
        <v>81</v>
      </c>
      <c r="C32" s="9" t="s">
        <v>46</v>
      </c>
      <c r="E32" s="9" t="s">
        <v>52</v>
      </c>
      <c r="F32" s="14">
        <v>4777.495</v>
      </c>
      <c r="G32" s="14">
        <v>5006.982</v>
      </c>
      <c r="H32" s="14">
        <v>5219.745</v>
      </c>
      <c r="I32" s="14">
        <v>5203.427</v>
      </c>
      <c r="J32" s="14">
        <v>5747.429</v>
      </c>
      <c r="K32" s="14">
        <v>6249.942</v>
      </c>
      <c r="L32" s="14">
        <v>6652.026</v>
      </c>
      <c r="M32" s="14">
        <v>6678.778</v>
      </c>
      <c r="N32" s="14">
        <v>6661.268</v>
      </c>
      <c r="O32" s="14">
        <v>7092.084</v>
      </c>
      <c r="P32" s="14">
        <v>6882.037</v>
      </c>
      <c r="Q32" s="14">
        <v>6757.352</v>
      </c>
      <c r="R32" s="14">
        <v>6925.206</v>
      </c>
      <c r="S32" s="14">
        <v>7274.025</v>
      </c>
      <c r="T32" s="14">
        <v>7555.545</v>
      </c>
      <c r="U32" s="14">
        <v>7878.012</v>
      </c>
      <c r="V32" s="14">
        <v>8236.463</v>
      </c>
      <c r="W32" s="14">
        <v>8154.15</v>
      </c>
      <c r="X32" s="14">
        <v>8821.949</v>
      </c>
      <c r="Y32" s="14">
        <v>8542.579</v>
      </c>
      <c r="Z32" s="14">
        <v>8606.693</v>
      </c>
      <c r="AA32" s="14">
        <v>8232.088</v>
      </c>
      <c r="AB32" s="14">
        <v>9189.836</v>
      </c>
      <c r="AC32" s="14">
        <v>9444.161</v>
      </c>
      <c r="AD32" s="14">
        <v>9515.315</v>
      </c>
      <c r="AE32" s="14">
        <v>9735.643</v>
      </c>
      <c r="AF32" s="14">
        <v>9715.841</v>
      </c>
      <c r="AG32" s="14">
        <v>9639.533</v>
      </c>
      <c r="AH32" s="14">
        <v>9691.542</v>
      </c>
    </row>
    <row r="33" spans="1:34" ht="12.75">
      <c r="A33" s="9" t="s">
        <v>75</v>
      </c>
      <c r="C33" s="9" t="s">
        <v>46</v>
      </c>
      <c r="E33" s="9" t="s">
        <v>52</v>
      </c>
      <c r="F33" s="14">
        <v>264.922</v>
      </c>
      <c r="G33" s="14">
        <v>269.333</v>
      </c>
      <c r="H33" s="14">
        <v>259.372</v>
      </c>
      <c r="I33" s="14">
        <v>294.568</v>
      </c>
      <c r="J33" s="14">
        <v>329.096</v>
      </c>
      <c r="K33" s="14">
        <v>355.466</v>
      </c>
      <c r="L33" s="14">
        <v>370.357</v>
      </c>
      <c r="M33" s="14">
        <v>374.933</v>
      </c>
      <c r="N33" s="14">
        <v>398.453</v>
      </c>
      <c r="O33" s="14">
        <v>447.365</v>
      </c>
      <c r="P33" s="14">
        <v>514.294</v>
      </c>
      <c r="Q33" s="14">
        <v>590.351</v>
      </c>
      <c r="R33" s="14">
        <v>686.167</v>
      </c>
      <c r="S33" s="14">
        <v>785.268</v>
      </c>
      <c r="T33" s="14">
        <v>866.778</v>
      </c>
      <c r="U33" s="14">
        <v>966.101</v>
      </c>
      <c r="V33" s="14">
        <v>1049.557</v>
      </c>
      <c r="W33" s="14">
        <v>1110.868</v>
      </c>
      <c r="X33" s="14">
        <v>1176.21</v>
      </c>
      <c r="Y33" s="14">
        <v>1222.32</v>
      </c>
      <c r="Z33" s="14">
        <v>1265.131</v>
      </c>
      <c r="AA33" s="14">
        <v>1353.011</v>
      </c>
      <c r="AB33" s="14">
        <v>1500.676</v>
      </c>
      <c r="AC33" s="14">
        <v>1654.6</v>
      </c>
      <c r="AD33" s="14">
        <v>1780.257</v>
      </c>
      <c r="AE33" s="14">
        <v>1874.099</v>
      </c>
      <c r="AF33" s="14">
        <v>2035.498</v>
      </c>
      <c r="AG33" s="14">
        <v>2220.329</v>
      </c>
      <c r="AH33" s="14">
        <v>2492.571</v>
      </c>
    </row>
    <row r="34" spans="1:34" ht="12.75">
      <c r="A34" s="9" t="s">
        <v>74</v>
      </c>
      <c r="C34" s="9" t="s">
        <v>46</v>
      </c>
      <c r="E34" s="9" t="s">
        <v>52</v>
      </c>
      <c r="F34" s="14">
        <v>32.331</v>
      </c>
      <c r="G34" s="31">
        <v>33.2745</v>
      </c>
      <c r="H34" s="14">
        <v>34.218</v>
      </c>
      <c r="I34" s="14">
        <v>37.788</v>
      </c>
      <c r="J34" s="14">
        <v>39.571</v>
      </c>
      <c r="K34" s="14">
        <v>41.179</v>
      </c>
      <c r="L34" s="14">
        <v>47.136</v>
      </c>
      <c r="M34" s="31">
        <v>54.361</v>
      </c>
      <c r="N34" s="14">
        <v>61.586</v>
      </c>
      <c r="O34" s="14">
        <v>61.339</v>
      </c>
      <c r="P34" s="14">
        <v>72.362</v>
      </c>
      <c r="Q34" s="14">
        <v>80.402</v>
      </c>
      <c r="R34" s="14">
        <v>81.754</v>
      </c>
      <c r="S34" s="14">
        <v>87.648</v>
      </c>
      <c r="T34" s="14">
        <v>97.909</v>
      </c>
      <c r="U34" s="31">
        <v>113.3445</v>
      </c>
      <c r="V34" s="14">
        <v>128.78</v>
      </c>
      <c r="W34" s="14">
        <v>149.404</v>
      </c>
      <c r="X34" s="14">
        <v>178.482</v>
      </c>
      <c r="Y34" s="14">
        <v>216.429</v>
      </c>
      <c r="Z34" s="14">
        <v>248.726</v>
      </c>
      <c r="AA34" s="14">
        <v>249.052</v>
      </c>
      <c r="AB34" s="14">
        <v>243.64</v>
      </c>
      <c r="AC34" s="31">
        <v>260.3825</v>
      </c>
      <c r="AD34" s="14">
        <v>277.125</v>
      </c>
      <c r="AE34" s="14">
        <v>313.084</v>
      </c>
      <c r="AF34" s="14">
        <v>297.64</v>
      </c>
      <c r="AG34" s="14">
        <v>296.632</v>
      </c>
      <c r="AH34" s="31">
        <v>299.2087702620504</v>
      </c>
    </row>
    <row r="35" spans="1:34" ht="12.75">
      <c r="A35" s="9" t="s">
        <v>76</v>
      </c>
      <c r="C35" s="9" t="s">
        <v>46</v>
      </c>
      <c r="E35" s="9" t="s">
        <v>52</v>
      </c>
      <c r="F35" s="31">
        <v>785.6738182180355</v>
      </c>
      <c r="G35" s="31">
        <v>865.9924217123057</v>
      </c>
      <c r="H35" s="31">
        <v>954.521911095457</v>
      </c>
      <c r="I35" s="31">
        <v>1052.1016765479353</v>
      </c>
      <c r="J35" s="31">
        <v>1159.65691822058</v>
      </c>
      <c r="K35" s="31">
        <v>1278.2074184971439</v>
      </c>
      <c r="L35" s="31">
        <v>1408.87721103593</v>
      </c>
      <c r="M35" s="31">
        <v>1552.9052382673335</v>
      </c>
      <c r="N35" s="31">
        <v>1711.6570983960817</v>
      </c>
      <c r="O35" s="31">
        <v>1886.6379932870907</v>
      </c>
      <c r="P35" s="14">
        <v>2079.507</v>
      </c>
      <c r="Q35" s="14">
        <v>2298.635</v>
      </c>
      <c r="R35" s="14">
        <v>2499.043</v>
      </c>
      <c r="S35" s="14">
        <v>2691.743</v>
      </c>
      <c r="T35" s="14">
        <v>2963.373</v>
      </c>
      <c r="U35" s="14">
        <v>3339.918</v>
      </c>
      <c r="V35" s="14">
        <v>3773.558</v>
      </c>
      <c r="W35" s="14">
        <v>4110.201</v>
      </c>
      <c r="X35" s="14">
        <v>4855.034</v>
      </c>
      <c r="Y35" s="14">
        <v>6382.006</v>
      </c>
      <c r="Z35" s="14">
        <v>6800.918</v>
      </c>
      <c r="AA35" s="14">
        <v>6744.606</v>
      </c>
      <c r="AB35" s="14">
        <v>6456.013</v>
      </c>
      <c r="AC35" s="14">
        <v>6666.772</v>
      </c>
      <c r="AD35" s="14">
        <v>7241.718</v>
      </c>
      <c r="AE35" s="14">
        <v>7682.527</v>
      </c>
      <c r="AF35" s="14">
        <v>8735.28</v>
      </c>
      <c r="AG35" s="14">
        <v>8885.333</v>
      </c>
      <c r="AH35" s="14">
        <v>8212.975</v>
      </c>
    </row>
    <row r="36" spans="1:34" ht="12.75">
      <c r="A36" s="9" t="s">
        <v>77</v>
      </c>
      <c r="C36" s="9" t="s">
        <v>46</v>
      </c>
      <c r="E36" s="9" t="s">
        <v>52</v>
      </c>
      <c r="F36" s="14">
        <v>8509.996</v>
      </c>
      <c r="G36" s="14">
        <v>8776.005</v>
      </c>
      <c r="H36" s="14">
        <v>9348.716</v>
      </c>
      <c r="I36" s="14">
        <v>10255.252</v>
      </c>
      <c r="J36" s="14">
        <v>11715.133</v>
      </c>
      <c r="K36" s="14">
        <v>12159.459</v>
      </c>
      <c r="L36" s="14">
        <v>13166.536</v>
      </c>
      <c r="M36" s="14">
        <v>14018.787</v>
      </c>
      <c r="N36" s="14">
        <v>14710.854</v>
      </c>
      <c r="O36" s="14">
        <v>15589.364</v>
      </c>
      <c r="P36" s="14">
        <v>15055.646</v>
      </c>
      <c r="Q36" s="14">
        <v>14666.688</v>
      </c>
      <c r="R36" s="14">
        <v>13843.683</v>
      </c>
      <c r="S36" s="14">
        <v>13198.704</v>
      </c>
      <c r="T36" s="14">
        <v>12917.795</v>
      </c>
      <c r="U36" s="14">
        <v>13216.08</v>
      </c>
      <c r="V36" s="14">
        <v>14053.254</v>
      </c>
      <c r="W36" s="14">
        <v>14525.241</v>
      </c>
      <c r="X36" s="14">
        <v>14370.613</v>
      </c>
      <c r="Y36" s="14">
        <v>15246.612</v>
      </c>
      <c r="Z36" s="14">
        <v>16129.213</v>
      </c>
      <c r="AA36" s="14">
        <v>16802.077</v>
      </c>
      <c r="AB36" s="14">
        <v>16483.586</v>
      </c>
      <c r="AC36" s="14">
        <v>16586.767</v>
      </c>
      <c r="AD36" s="14">
        <v>16620.786</v>
      </c>
      <c r="AE36" s="14">
        <v>17610.539</v>
      </c>
      <c r="AF36" s="14">
        <v>18596.983</v>
      </c>
      <c r="AG36" s="14">
        <v>19163.153</v>
      </c>
      <c r="AH36" s="14">
        <v>18732.333</v>
      </c>
    </row>
    <row r="37" spans="1:34" ht="12.75">
      <c r="A37" s="9" t="s">
        <v>78</v>
      </c>
      <c r="C37" s="9" t="s">
        <v>46</v>
      </c>
      <c r="E37" s="9" t="s">
        <v>52</v>
      </c>
      <c r="F37" s="14">
        <v>43856.145</v>
      </c>
      <c r="G37" s="14">
        <v>47127.388</v>
      </c>
      <c r="H37" s="14">
        <v>51364.818</v>
      </c>
      <c r="I37" s="14">
        <v>55498.419</v>
      </c>
      <c r="J37" s="14">
        <v>61881.345</v>
      </c>
      <c r="K37" s="14">
        <v>62870.786</v>
      </c>
      <c r="L37" s="14">
        <v>67344.839</v>
      </c>
      <c r="M37" s="14">
        <v>72518.794</v>
      </c>
      <c r="N37" s="14">
        <v>78868.595</v>
      </c>
      <c r="O37" s="14">
        <v>85364.862</v>
      </c>
      <c r="P37" s="14">
        <v>87606.78</v>
      </c>
      <c r="Q37" s="14">
        <v>87101.145</v>
      </c>
      <c r="R37" s="14">
        <v>85472.669</v>
      </c>
      <c r="S37" s="14">
        <v>84670.061</v>
      </c>
      <c r="T37" s="14">
        <v>90176.748</v>
      </c>
      <c r="U37" s="14">
        <v>89155.764</v>
      </c>
      <c r="V37" s="14">
        <v>92685.903</v>
      </c>
      <c r="W37" s="14">
        <v>95069.115</v>
      </c>
      <c r="X37" s="14">
        <v>95456.25</v>
      </c>
      <c r="Y37" s="14">
        <v>98895.988</v>
      </c>
      <c r="Z37" s="14">
        <v>101687.15</v>
      </c>
      <c r="AA37" s="14">
        <v>103341.226</v>
      </c>
      <c r="AB37" s="14">
        <v>105910.295</v>
      </c>
      <c r="AC37" s="14">
        <v>107740.473</v>
      </c>
      <c r="AD37" s="14">
        <v>115228.996</v>
      </c>
      <c r="AE37" s="14">
        <v>120464.328</v>
      </c>
      <c r="AF37" s="14">
        <v>124751.885</v>
      </c>
      <c r="AG37" s="14">
        <v>123148.51</v>
      </c>
      <c r="AH37" s="31">
        <v>124218.2712475519</v>
      </c>
    </row>
    <row r="38" spans="1:34" ht="12.75">
      <c r="A38" s="9" t="s">
        <v>93</v>
      </c>
      <c r="C38" s="9" t="s">
        <v>46</v>
      </c>
      <c r="E38" s="9" t="s">
        <v>52</v>
      </c>
      <c r="F38" s="31">
        <v>3310.4115219236305</v>
      </c>
      <c r="G38" s="31">
        <v>3630.8559732557746</v>
      </c>
      <c r="H38" s="31">
        <v>3982.319119910091</v>
      </c>
      <c r="I38" s="31">
        <v>4367.803539885637</v>
      </c>
      <c r="J38" s="31">
        <v>4790.602457662464</v>
      </c>
      <c r="K38" s="31">
        <v>5254.32787848387</v>
      </c>
      <c r="L38" s="31">
        <v>5762.94144600842</v>
      </c>
      <c r="M38" s="31">
        <v>6320.788286951129</v>
      </c>
      <c r="N38" s="31">
        <v>6932.634131851321</v>
      </c>
      <c r="O38" s="31">
        <v>7603.706029092875</v>
      </c>
      <c r="P38" s="14">
        <v>8339.737</v>
      </c>
      <c r="Q38" s="14">
        <v>9690.924</v>
      </c>
      <c r="R38" s="14">
        <v>10321.885</v>
      </c>
      <c r="S38" s="14">
        <v>10602.035</v>
      </c>
      <c r="T38" s="14">
        <v>10636.257</v>
      </c>
      <c r="U38" s="14">
        <v>11569.505</v>
      </c>
      <c r="V38" s="14">
        <v>14456.734</v>
      </c>
      <c r="W38" s="14">
        <v>15923.613</v>
      </c>
      <c r="X38" s="14">
        <v>20046.135</v>
      </c>
      <c r="Y38" s="14">
        <v>26462.433</v>
      </c>
      <c r="Z38" s="14">
        <v>30211.791</v>
      </c>
      <c r="AA38" s="14">
        <v>36836.829</v>
      </c>
      <c r="AB38" s="14">
        <v>42731.479</v>
      </c>
      <c r="AC38" s="14">
        <v>51049.484</v>
      </c>
      <c r="AD38" s="14">
        <v>60837.422</v>
      </c>
      <c r="AE38" s="14">
        <v>70751.912</v>
      </c>
      <c r="AF38" s="14">
        <v>83426.685</v>
      </c>
      <c r="AG38" s="14">
        <v>96062.343</v>
      </c>
      <c r="AH38" s="31">
        <v>96896.81328218561</v>
      </c>
    </row>
    <row r="39" spans="1:34" ht="12.75">
      <c r="A39" s="9" t="s">
        <v>80</v>
      </c>
      <c r="C39" s="9" t="s">
        <v>46</v>
      </c>
      <c r="E39" s="9" t="s">
        <v>52</v>
      </c>
      <c r="F39" s="31">
        <v>412.13027072539325</v>
      </c>
      <c r="G39" s="31">
        <v>460.252158958687</v>
      </c>
      <c r="H39" s="31">
        <v>513.9929407594484</v>
      </c>
      <c r="I39" s="31">
        <v>574.0086993796369</v>
      </c>
      <c r="J39" s="31">
        <v>641.0321248316593</v>
      </c>
      <c r="K39" s="31">
        <v>715.8814587832875</v>
      </c>
      <c r="L39" s="31">
        <v>799.4704838923185</v>
      </c>
      <c r="M39" s="31">
        <v>892.8196795337076</v>
      </c>
      <c r="N39" s="31">
        <v>997.0686801115702</v>
      </c>
      <c r="O39" s="31">
        <v>1113.490188050784</v>
      </c>
      <c r="P39" s="31">
        <v>1243.5055113220806</v>
      </c>
      <c r="Q39" s="31">
        <v>1388.7019151872987</v>
      </c>
      <c r="R39" s="14">
        <v>1550.852</v>
      </c>
      <c r="S39" s="14">
        <v>2159.738</v>
      </c>
      <c r="T39" s="14">
        <v>2137.398</v>
      </c>
      <c r="U39" s="14">
        <v>2250.374</v>
      </c>
      <c r="V39" s="14">
        <v>2672.541</v>
      </c>
      <c r="W39" s="14">
        <v>3074.3</v>
      </c>
      <c r="X39" s="14">
        <v>3630.194</v>
      </c>
      <c r="Y39" s="14">
        <v>3359.693</v>
      </c>
      <c r="Z39" s="14">
        <v>3550.593</v>
      </c>
      <c r="AA39" s="14">
        <v>3959.017</v>
      </c>
      <c r="AB39" s="14">
        <v>3993.986</v>
      </c>
      <c r="AC39" s="14">
        <v>4199.875</v>
      </c>
      <c r="AD39" s="14">
        <v>4477.719</v>
      </c>
      <c r="AE39" s="14">
        <v>4399.853</v>
      </c>
      <c r="AF39" s="14">
        <v>4405.807</v>
      </c>
      <c r="AG39" s="31">
        <v>4687.337793384776</v>
      </c>
      <c r="AH39" s="31">
        <v>4728.05556029522</v>
      </c>
    </row>
    <row r="40" spans="1:34" ht="12.75">
      <c r="A40" s="9" t="s">
        <v>82</v>
      </c>
      <c r="C40" s="9" t="s">
        <v>46</v>
      </c>
      <c r="E40" s="9" t="s">
        <v>52</v>
      </c>
      <c r="F40" s="14">
        <v>506.957</v>
      </c>
      <c r="G40" s="31">
        <v>500.613</v>
      </c>
      <c r="H40" s="14">
        <v>494.269</v>
      </c>
      <c r="I40" s="31">
        <v>499.0162</v>
      </c>
      <c r="J40" s="31">
        <v>503.7633</v>
      </c>
      <c r="K40" s="31">
        <v>508.5105</v>
      </c>
      <c r="L40" s="31">
        <v>513.2577</v>
      </c>
      <c r="M40" s="31">
        <v>518.0048</v>
      </c>
      <c r="N40" s="14">
        <v>522.752</v>
      </c>
      <c r="O40" s="14">
        <v>594.812</v>
      </c>
      <c r="P40" s="14">
        <v>580.059</v>
      </c>
      <c r="Q40" s="14">
        <v>601.372</v>
      </c>
      <c r="R40" s="14">
        <v>646.046</v>
      </c>
      <c r="S40" s="31">
        <v>658.067</v>
      </c>
      <c r="T40" s="14">
        <v>670.088</v>
      </c>
      <c r="U40" s="31">
        <v>738.3415</v>
      </c>
      <c r="V40" s="14">
        <v>806.595</v>
      </c>
      <c r="W40" s="31">
        <v>793.3605</v>
      </c>
      <c r="X40" s="14">
        <v>780.126</v>
      </c>
      <c r="Y40" s="31">
        <v>862.5065</v>
      </c>
      <c r="Z40" s="14">
        <v>944.887</v>
      </c>
      <c r="AA40" s="31">
        <v>1010.6255</v>
      </c>
      <c r="AB40" s="14">
        <v>1076.364</v>
      </c>
      <c r="AC40" s="31">
        <v>1097.6765</v>
      </c>
      <c r="AD40" s="14">
        <v>1118.989</v>
      </c>
      <c r="AE40" s="31">
        <v>1161.577</v>
      </c>
      <c r="AF40" s="14">
        <v>1204.165</v>
      </c>
      <c r="AG40" s="31">
        <v>1281.1110686353668</v>
      </c>
      <c r="AH40" s="31">
        <v>1292.2397698680159</v>
      </c>
    </row>
    <row r="41" spans="1:34" ht="12.75">
      <c r="A41" s="9" t="s">
        <v>83</v>
      </c>
      <c r="C41" s="9" t="s">
        <v>46</v>
      </c>
      <c r="E41" s="9" t="s">
        <v>52</v>
      </c>
      <c r="F41" s="14">
        <v>1049.367</v>
      </c>
      <c r="G41" s="14">
        <v>1112.106</v>
      </c>
      <c r="H41" s="14">
        <v>1183.236</v>
      </c>
      <c r="I41" s="14">
        <v>1339.01</v>
      </c>
      <c r="J41" s="14">
        <v>1493.682</v>
      </c>
      <c r="K41" s="31">
        <v>1553.177</v>
      </c>
      <c r="L41" s="14">
        <v>1612.672</v>
      </c>
      <c r="M41" s="31">
        <v>1629.966</v>
      </c>
      <c r="N41" s="14">
        <v>1647.26</v>
      </c>
      <c r="O41" s="31">
        <v>1672.04</v>
      </c>
      <c r="P41" s="14">
        <v>1696.82</v>
      </c>
      <c r="Q41" s="31">
        <v>1773.0665</v>
      </c>
      <c r="R41" s="14">
        <v>1849.313</v>
      </c>
      <c r="S41" s="31">
        <v>1916.939</v>
      </c>
      <c r="T41" s="14">
        <v>1984.565</v>
      </c>
      <c r="U41" s="31">
        <v>2081.647</v>
      </c>
      <c r="V41" s="14">
        <v>2178.729</v>
      </c>
      <c r="W41" s="31">
        <v>2245.517</v>
      </c>
      <c r="X41" s="14">
        <v>2312.305</v>
      </c>
      <c r="Y41" s="31">
        <v>2450.7955</v>
      </c>
      <c r="Z41" s="14">
        <v>2589.286</v>
      </c>
      <c r="AA41" s="14">
        <v>2652.385</v>
      </c>
      <c r="AB41" s="14">
        <v>2768.955</v>
      </c>
      <c r="AC41" s="14">
        <v>2766.223</v>
      </c>
      <c r="AD41" s="14">
        <v>2888.208</v>
      </c>
      <c r="AE41" s="14">
        <v>3097.227</v>
      </c>
      <c r="AF41" s="14">
        <v>3416.328</v>
      </c>
      <c r="AG41" s="14">
        <v>3623.008</v>
      </c>
      <c r="AH41" s="14">
        <v>3638.826</v>
      </c>
    </row>
    <row r="42" spans="1:34" ht="12.75">
      <c r="A42" s="9" t="s">
        <v>84</v>
      </c>
      <c r="C42" s="9" t="s">
        <v>46</v>
      </c>
      <c r="E42" s="9" t="s">
        <v>52</v>
      </c>
      <c r="F42" s="31">
        <v>2417.217985314144</v>
      </c>
      <c r="G42" s="31">
        <v>2201.2558881256036</v>
      </c>
      <c r="H42" s="31">
        <v>2329.770767052493</v>
      </c>
      <c r="I42" s="31">
        <v>2451.7097998083523</v>
      </c>
      <c r="J42" s="31">
        <v>2523.8997136231183</v>
      </c>
      <c r="K42" s="31">
        <v>2631.8498546447095</v>
      </c>
      <c r="L42" s="31">
        <v>2688.1077247622134</v>
      </c>
      <c r="M42" s="31">
        <v>2794.992409553925</v>
      </c>
      <c r="N42" s="31">
        <v>2797.667051581241</v>
      </c>
      <c r="O42" s="14">
        <v>2451.971</v>
      </c>
      <c r="P42" s="14">
        <v>1916.497</v>
      </c>
      <c r="Q42" s="14">
        <v>2020.284</v>
      </c>
      <c r="R42" s="14">
        <v>2094.782</v>
      </c>
      <c r="S42" s="14">
        <v>2028.561</v>
      </c>
      <c r="T42" s="14">
        <v>1964.36</v>
      </c>
      <c r="U42" s="14">
        <v>2156.944</v>
      </c>
      <c r="V42" s="14">
        <v>2304.454</v>
      </c>
      <c r="W42" s="14">
        <v>2472.449</v>
      </c>
      <c r="X42" s="14">
        <v>2673.768</v>
      </c>
      <c r="Y42" s="14">
        <v>2604.63</v>
      </c>
      <c r="Z42" s="14">
        <v>2549.531</v>
      </c>
      <c r="AA42" s="14">
        <v>2321.066</v>
      </c>
      <c r="AB42" s="14">
        <v>2330.465</v>
      </c>
      <c r="AC42" s="14">
        <v>2532.208</v>
      </c>
      <c r="AD42" s="14">
        <v>2667.598</v>
      </c>
      <c r="AE42" s="14">
        <v>2778.699</v>
      </c>
      <c r="AF42" s="14">
        <v>3026.853</v>
      </c>
      <c r="AG42" s="14">
        <v>3390.354</v>
      </c>
      <c r="AH42" s="14">
        <v>3850.203</v>
      </c>
    </row>
    <row r="43" spans="1:34" ht="12.75">
      <c r="A43" s="9" t="s">
        <v>85</v>
      </c>
      <c r="C43" s="9" t="s">
        <v>46</v>
      </c>
      <c r="E43" s="9" t="s">
        <v>52</v>
      </c>
      <c r="F43" s="31">
        <v>258</v>
      </c>
      <c r="G43" s="14">
        <v>279.707</v>
      </c>
      <c r="H43" s="14">
        <v>306.259</v>
      </c>
      <c r="I43" s="14">
        <v>311.242</v>
      </c>
      <c r="J43" s="14">
        <v>352.447</v>
      </c>
      <c r="K43" s="14">
        <v>372.948</v>
      </c>
      <c r="L43" s="14">
        <v>424.365</v>
      </c>
      <c r="M43" s="14">
        <v>458.762</v>
      </c>
      <c r="N43" s="14">
        <v>568.623</v>
      </c>
      <c r="O43" s="14">
        <v>638.235</v>
      </c>
      <c r="P43" s="14">
        <v>737.789</v>
      </c>
      <c r="Q43" s="14">
        <v>803.813</v>
      </c>
      <c r="R43" s="14">
        <v>783.648</v>
      </c>
      <c r="S43" s="14">
        <v>764.692</v>
      </c>
      <c r="T43" s="14">
        <v>773.964</v>
      </c>
      <c r="U43" s="14">
        <v>852.288</v>
      </c>
      <c r="V43" s="14">
        <v>912.504</v>
      </c>
      <c r="W43" s="14">
        <v>1060.385</v>
      </c>
      <c r="X43" s="14">
        <v>1202.04</v>
      </c>
      <c r="Y43" s="14">
        <v>1324.103</v>
      </c>
      <c r="Z43" s="14">
        <v>1432.69</v>
      </c>
      <c r="AA43" s="14">
        <v>1368.506</v>
      </c>
      <c r="AB43" s="14">
        <v>1316.357</v>
      </c>
      <c r="AC43" s="14">
        <v>1399.02</v>
      </c>
      <c r="AD43" s="14">
        <v>1476.224</v>
      </c>
      <c r="AE43" s="14">
        <v>1897.687</v>
      </c>
      <c r="AF43" s="14">
        <v>2294.194</v>
      </c>
      <c r="AG43" s="14">
        <v>2949.44</v>
      </c>
      <c r="AH43" s="14">
        <v>3178.337</v>
      </c>
    </row>
    <row r="44" spans="1:34" ht="12.75">
      <c r="A44" s="9" t="s">
        <v>94</v>
      </c>
      <c r="C44" s="9" t="s">
        <v>46</v>
      </c>
      <c r="E44" s="9" t="s">
        <v>52</v>
      </c>
      <c r="F44" s="31">
        <v>1106.0292104378723</v>
      </c>
      <c r="G44" s="31">
        <v>1118.262073459008</v>
      </c>
      <c r="H44" s="31">
        <v>1130.5365580013465</v>
      </c>
      <c r="I44" s="31">
        <v>1167.6330608653627</v>
      </c>
      <c r="J44" s="31">
        <v>1156.8967079970332</v>
      </c>
      <c r="K44" s="31">
        <v>1190.0141114500896</v>
      </c>
      <c r="L44" s="31">
        <v>1203.743436813909</v>
      </c>
      <c r="M44" s="31">
        <v>1211.0813313004314</v>
      </c>
      <c r="N44" s="31">
        <v>1137.6380306622882</v>
      </c>
      <c r="O44" s="31">
        <v>1094.7631174239402</v>
      </c>
      <c r="P44" s="14">
        <v>941.321</v>
      </c>
      <c r="Q44" s="14">
        <v>927.444</v>
      </c>
      <c r="R44" s="14">
        <v>1014.495</v>
      </c>
      <c r="S44" s="14">
        <v>893.391</v>
      </c>
      <c r="T44" s="14">
        <v>988.822</v>
      </c>
      <c r="U44" s="14">
        <v>906.253</v>
      </c>
      <c r="V44" s="14">
        <v>735.062</v>
      </c>
      <c r="W44" s="14">
        <v>620.488</v>
      </c>
      <c r="X44" s="14">
        <v>497.205</v>
      </c>
      <c r="Y44" s="14">
        <v>468.153</v>
      </c>
      <c r="Z44" s="14">
        <v>526.846</v>
      </c>
      <c r="AA44" s="14">
        <v>537.171</v>
      </c>
      <c r="AB44" s="14">
        <v>577.395</v>
      </c>
      <c r="AC44" s="14">
        <v>625.163</v>
      </c>
      <c r="AD44" s="14">
        <v>692.369</v>
      </c>
      <c r="AE44" s="14">
        <v>828.232</v>
      </c>
      <c r="AF44" s="14">
        <v>1014.531</v>
      </c>
      <c r="AG44" s="14">
        <v>1205.17</v>
      </c>
      <c r="AH44" s="14">
        <v>915.034</v>
      </c>
    </row>
    <row r="45" spans="1:34" ht="12.75">
      <c r="A45" s="9" t="s">
        <v>95</v>
      </c>
      <c r="C45" s="9" t="s">
        <v>46</v>
      </c>
      <c r="E45" s="9" t="s">
        <v>52</v>
      </c>
      <c r="F45" s="31">
        <v>24669.874981859404</v>
      </c>
      <c r="G45" s="31">
        <v>25278.075142987156</v>
      </c>
      <c r="H45" s="31">
        <v>26085.666434288727</v>
      </c>
      <c r="I45" s="31">
        <v>26421.32724144719</v>
      </c>
      <c r="J45" s="31">
        <v>26657.292483518744</v>
      </c>
      <c r="K45" s="31">
        <v>27754.029520621156</v>
      </c>
      <c r="L45" s="31">
        <v>28112.962161982836</v>
      </c>
      <c r="M45" s="31">
        <v>28711.178463077493</v>
      </c>
      <c r="N45" s="14">
        <v>29139.898</v>
      </c>
      <c r="O45" s="14">
        <v>30154.294</v>
      </c>
      <c r="P45" s="14">
        <v>20160.884</v>
      </c>
      <c r="Q45" s="14">
        <v>8914.996</v>
      </c>
      <c r="R45" s="14">
        <v>8455.289</v>
      </c>
      <c r="S45" s="14">
        <v>8110.409</v>
      </c>
      <c r="T45" s="14">
        <v>7853.495</v>
      </c>
      <c r="U45" s="14">
        <v>8597.539</v>
      </c>
      <c r="V45" s="14">
        <v>9418.537</v>
      </c>
      <c r="W45" s="14">
        <v>8147.16</v>
      </c>
      <c r="X45" s="14">
        <v>9049.785</v>
      </c>
      <c r="Y45" s="14">
        <v>10494.739</v>
      </c>
      <c r="Z45" s="14">
        <v>12364.373</v>
      </c>
      <c r="AA45" s="14">
        <v>13716.52</v>
      </c>
      <c r="AB45" s="14">
        <v>15137.651</v>
      </c>
      <c r="AC45" s="14">
        <v>14541.896</v>
      </c>
      <c r="AD45" s="14">
        <v>14357.819</v>
      </c>
      <c r="AE45" s="14">
        <v>15551.006</v>
      </c>
      <c r="AF45" s="14">
        <v>17543.706</v>
      </c>
      <c r="AG45" s="14">
        <v>17104.504</v>
      </c>
      <c r="AH45" s="14">
        <v>18814.089</v>
      </c>
    </row>
    <row r="46" spans="1:34" ht="12.75">
      <c r="A46" s="9" t="s">
        <v>90</v>
      </c>
      <c r="C46" s="9" t="s">
        <v>46</v>
      </c>
      <c r="E46" s="9" t="s">
        <v>52</v>
      </c>
      <c r="F46" s="14">
        <v>3574.873</v>
      </c>
      <c r="G46" s="31">
        <v>3576.1035</v>
      </c>
      <c r="H46" s="14">
        <v>3577.334</v>
      </c>
      <c r="I46" s="31">
        <v>4031.625</v>
      </c>
      <c r="J46" s="31">
        <v>4485.916</v>
      </c>
      <c r="K46" s="14">
        <v>4940.207</v>
      </c>
      <c r="L46" s="31">
        <v>5084.117</v>
      </c>
      <c r="M46" s="31">
        <v>5228.027</v>
      </c>
      <c r="N46" s="14">
        <v>5371.937</v>
      </c>
      <c r="O46" s="31">
        <v>5326.3753</v>
      </c>
      <c r="P46" s="31">
        <v>5280.8137</v>
      </c>
      <c r="Q46" s="14">
        <v>5235.252</v>
      </c>
      <c r="R46" s="31">
        <v>5301.0493</v>
      </c>
      <c r="S46" s="31">
        <v>5366.8465</v>
      </c>
      <c r="T46" s="31">
        <v>5432.6438</v>
      </c>
      <c r="U46" s="14">
        <v>5498.441</v>
      </c>
      <c r="V46" s="31">
        <v>5565.0968</v>
      </c>
      <c r="W46" s="31">
        <v>5631.7525</v>
      </c>
      <c r="X46" s="31">
        <v>5698.4083</v>
      </c>
      <c r="Y46" s="14">
        <v>5765.064</v>
      </c>
      <c r="Z46" s="31">
        <v>6043.2143</v>
      </c>
      <c r="AA46" s="31">
        <v>6321.3645</v>
      </c>
      <c r="AB46" s="31">
        <v>6599.5148</v>
      </c>
      <c r="AC46" s="14">
        <v>6877.665</v>
      </c>
      <c r="AD46" s="31">
        <v>7151.6668</v>
      </c>
      <c r="AE46" s="31">
        <v>7425.6685</v>
      </c>
      <c r="AF46" s="31">
        <v>7699.6703</v>
      </c>
      <c r="AG46" s="14">
        <v>7973.672</v>
      </c>
      <c r="AH46" s="31">
        <v>8042.93735535257</v>
      </c>
    </row>
    <row r="47" spans="1:34" ht="12.75">
      <c r="A47" s="9" t="s">
        <v>96</v>
      </c>
      <c r="C47" s="9" t="s">
        <v>46</v>
      </c>
      <c r="E47" s="9" t="s">
        <v>52</v>
      </c>
      <c r="F47" s="31">
        <v>145.27031151974276</v>
      </c>
      <c r="G47" s="31">
        <v>168.1207259044334</v>
      </c>
      <c r="H47" s="31">
        <v>194.56541521074917</v>
      </c>
      <c r="I47" s="31">
        <v>225.16974389968985</v>
      </c>
      <c r="J47" s="31">
        <v>260.5880059050228</v>
      </c>
      <c r="K47" s="31">
        <v>301.5774128686111</v>
      </c>
      <c r="L47" s="31">
        <v>349.01428266684354</v>
      </c>
      <c r="M47" s="31">
        <v>403.91277432478347</v>
      </c>
      <c r="N47" s="31">
        <v>467.44656985420943</v>
      </c>
      <c r="O47" s="31">
        <v>540.97396655439</v>
      </c>
      <c r="P47" s="31">
        <v>626.0669162271636</v>
      </c>
      <c r="Q47" s="31">
        <v>724.544632139488</v>
      </c>
      <c r="R47" s="31">
        <v>838.5124822210962</v>
      </c>
      <c r="S47" s="14">
        <v>970.407</v>
      </c>
      <c r="T47" s="14">
        <v>1105.487</v>
      </c>
      <c r="U47" s="14">
        <v>1429.51</v>
      </c>
      <c r="V47" s="14">
        <v>1667.461</v>
      </c>
      <c r="W47" s="14">
        <v>2010.141</v>
      </c>
      <c r="X47" s="14">
        <v>2261.99</v>
      </c>
      <c r="Y47" s="14">
        <v>2470.87</v>
      </c>
      <c r="Z47" s="14">
        <v>2698.141</v>
      </c>
      <c r="AA47" s="14">
        <v>2871.577</v>
      </c>
      <c r="AB47" s="14">
        <v>2919.478</v>
      </c>
      <c r="AC47" s="14">
        <v>3316.052</v>
      </c>
      <c r="AD47" s="14">
        <v>3574.836</v>
      </c>
      <c r="AE47" s="14">
        <v>3845.505</v>
      </c>
      <c r="AF47" s="14">
        <v>4569.666</v>
      </c>
      <c r="AG47" s="14">
        <v>5093.676</v>
      </c>
      <c r="AH47" s="31">
        <v>5137.923528389789</v>
      </c>
    </row>
    <row r="48" spans="1:34" ht="12.75">
      <c r="A48" s="9" t="s">
        <v>86</v>
      </c>
      <c r="C48" s="9" t="s">
        <v>46</v>
      </c>
      <c r="E48" s="9" t="s">
        <v>52</v>
      </c>
      <c r="F48" s="31">
        <v>825.8821607272178</v>
      </c>
      <c r="G48" s="31">
        <v>841.9631163548581</v>
      </c>
      <c r="H48" s="31">
        <v>854.6356456095353</v>
      </c>
      <c r="I48" s="31">
        <v>874.6908263880507</v>
      </c>
      <c r="J48" s="31">
        <v>881.507679133977</v>
      </c>
      <c r="K48" s="31">
        <v>897.7795066385033</v>
      </c>
      <c r="L48" s="31">
        <v>902.3195305672904</v>
      </c>
      <c r="M48" s="31">
        <v>922.3747113458058</v>
      </c>
      <c r="N48" s="31">
        <v>929.9414178937841</v>
      </c>
      <c r="O48" s="14">
        <v>903.642</v>
      </c>
      <c r="P48" s="14">
        <v>992.589</v>
      </c>
      <c r="Q48" s="14">
        <v>773.733</v>
      </c>
      <c r="R48" s="14">
        <v>608.453</v>
      </c>
      <c r="S48" s="14">
        <v>423.699</v>
      </c>
      <c r="T48" s="14">
        <v>463.227</v>
      </c>
      <c r="U48" s="14">
        <v>488.498</v>
      </c>
      <c r="V48" s="14">
        <v>603.486</v>
      </c>
      <c r="W48" s="14">
        <v>456.435</v>
      </c>
      <c r="X48" s="14">
        <v>383.544</v>
      </c>
      <c r="Y48" s="14">
        <v>384.25</v>
      </c>
      <c r="Z48" s="14">
        <v>388.794</v>
      </c>
      <c r="AA48" s="14">
        <v>366.548</v>
      </c>
      <c r="AB48" s="14">
        <v>385.604</v>
      </c>
      <c r="AC48" s="14">
        <v>361.644</v>
      </c>
      <c r="AD48" s="14">
        <v>380.516</v>
      </c>
      <c r="AE48" s="14">
        <v>397.229</v>
      </c>
      <c r="AF48" s="14">
        <v>414.831</v>
      </c>
      <c r="AG48" s="14">
        <v>451.548</v>
      </c>
      <c r="AH48" s="14">
        <v>437.494</v>
      </c>
    </row>
    <row r="49" spans="1:34" ht="12.75">
      <c r="A49" s="9" t="s">
        <v>87</v>
      </c>
      <c r="C49" s="9" t="s">
        <v>46</v>
      </c>
      <c r="E49" s="9" t="s">
        <v>52</v>
      </c>
      <c r="F49" s="31">
        <v>462.920648099978</v>
      </c>
      <c r="G49" s="31">
        <v>467.1029120585249</v>
      </c>
      <c r="H49" s="31">
        <v>471.3338474180857</v>
      </c>
      <c r="I49" s="31">
        <v>482.1319453858719</v>
      </c>
      <c r="J49" s="31">
        <v>486.3142093444188</v>
      </c>
      <c r="K49" s="31">
        <v>506.4954581219458</v>
      </c>
      <c r="L49" s="31">
        <v>500.6096951279142</v>
      </c>
      <c r="M49" s="31">
        <v>493.60796643920804</v>
      </c>
      <c r="N49" s="31">
        <v>487.3363087657096</v>
      </c>
      <c r="O49" s="31">
        <v>451.78532685373887</v>
      </c>
      <c r="P49" s="31">
        <v>411.56673851700896</v>
      </c>
      <c r="Q49" s="31">
        <v>388.9398651826305</v>
      </c>
      <c r="R49" s="14">
        <v>399.825</v>
      </c>
      <c r="S49" s="14">
        <v>462.781</v>
      </c>
      <c r="T49" s="14">
        <v>428.546</v>
      </c>
      <c r="U49" s="14">
        <v>376.5</v>
      </c>
      <c r="V49" s="14">
        <v>389.486</v>
      </c>
      <c r="W49" s="14">
        <v>422.906</v>
      </c>
      <c r="X49" s="14">
        <v>456.172</v>
      </c>
      <c r="Y49" s="14">
        <v>482.084</v>
      </c>
      <c r="Z49" s="14">
        <v>537.106</v>
      </c>
      <c r="AA49" s="14">
        <v>546.085</v>
      </c>
      <c r="AB49" s="14">
        <v>486.382</v>
      </c>
      <c r="AC49" s="14">
        <v>557.295</v>
      </c>
      <c r="AD49" s="14">
        <v>597.819</v>
      </c>
      <c r="AE49" s="14">
        <v>686.63</v>
      </c>
      <c r="AF49" s="14">
        <v>682.03</v>
      </c>
      <c r="AG49" s="14">
        <v>808.173</v>
      </c>
      <c r="AH49" s="14">
        <v>833.441</v>
      </c>
    </row>
    <row r="50" spans="1:34" ht="12.75">
      <c r="A50" s="9" t="s">
        <v>88</v>
      </c>
      <c r="C50" s="9" t="s">
        <v>46</v>
      </c>
      <c r="E50" s="9" t="s">
        <v>52</v>
      </c>
      <c r="F50" s="14">
        <v>1951.131</v>
      </c>
      <c r="G50" s="14">
        <v>2264.89</v>
      </c>
      <c r="H50" s="14">
        <v>2270.222</v>
      </c>
      <c r="I50" s="14">
        <v>2400.272</v>
      </c>
      <c r="J50" s="14">
        <v>2720.689</v>
      </c>
      <c r="K50" s="14">
        <v>3122.469</v>
      </c>
      <c r="L50" s="14">
        <v>3436.805</v>
      </c>
      <c r="M50" s="14">
        <v>4048.985</v>
      </c>
      <c r="N50" s="14">
        <v>4467.615</v>
      </c>
      <c r="O50" s="14">
        <v>5223.843</v>
      </c>
      <c r="P50" s="14">
        <v>5499.295</v>
      </c>
      <c r="Q50" s="14">
        <v>5804.363</v>
      </c>
      <c r="R50" s="14">
        <v>5732.228</v>
      </c>
      <c r="S50" s="14">
        <v>5426.573</v>
      </c>
      <c r="T50" s="14">
        <v>5572.748</v>
      </c>
      <c r="U50" s="14">
        <v>5845.462</v>
      </c>
      <c r="V50" s="14">
        <v>5985.383</v>
      </c>
      <c r="W50" s="14">
        <v>6818.244</v>
      </c>
      <c r="X50" s="14">
        <v>7038.732</v>
      </c>
      <c r="Y50" s="14">
        <v>7789.419</v>
      </c>
      <c r="Z50" s="14">
        <v>8139.856</v>
      </c>
      <c r="AA50" s="14">
        <v>9014.657</v>
      </c>
      <c r="AB50" s="14">
        <v>9882.837</v>
      </c>
      <c r="AC50" s="14">
        <v>10348.104</v>
      </c>
      <c r="AD50" s="14">
        <v>11310.542</v>
      </c>
      <c r="AE50" s="14">
        <v>12586.745</v>
      </c>
      <c r="AF50" s="14">
        <v>13753.943</v>
      </c>
      <c r="AG50" s="14">
        <v>14799.345</v>
      </c>
      <c r="AH50" s="14">
        <v>14591.14</v>
      </c>
    </row>
    <row r="51" spans="1:34" ht="12.75">
      <c r="A51" s="9" t="s">
        <v>92</v>
      </c>
      <c r="C51" s="9" t="s">
        <v>46</v>
      </c>
      <c r="E51" s="9" t="s">
        <v>52</v>
      </c>
      <c r="F51" s="14">
        <v>21155.615</v>
      </c>
      <c r="G51" s="31">
        <v>20920.4115</v>
      </c>
      <c r="H51" s="14">
        <v>20685.208</v>
      </c>
      <c r="I51" s="31">
        <v>21508.592</v>
      </c>
      <c r="J51" s="14">
        <v>22331.976</v>
      </c>
      <c r="K51" s="14">
        <v>23394.96</v>
      </c>
      <c r="L51" s="14">
        <v>23747.301</v>
      </c>
      <c r="M51" s="14">
        <v>24316.569</v>
      </c>
      <c r="N51" s="14">
        <v>24991.663</v>
      </c>
      <c r="O51" s="14">
        <v>25130.949</v>
      </c>
      <c r="P51" s="14">
        <v>23883.792</v>
      </c>
      <c r="Q51" s="14">
        <v>23462.453</v>
      </c>
      <c r="R51" s="14">
        <v>24324.636</v>
      </c>
      <c r="S51" s="14">
        <v>24844.606</v>
      </c>
      <c r="T51" s="14">
        <v>24814.187</v>
      </c>
      <c r="U51" s="14">
        <v>24463.717</v>
      </c>
      <c r="V51" s="14">
        <v>24332.486</v>
      </c>
      <c r="W51" s="14">
        <v>25100.616</v>
      </c>
      <c r="X51" s="14">
        <v>26929.404</v>
      </c>
      <c r="Y51" s="14">
        <v>27854.966</v>
      </c>
      <c r="Z51" s="14">
        <v>28149.816</v>
      </c>
      <c r="AA51" s="14">
        <v>28710.534</v>
      </c>
      <c r="AB51" s="14">
        <v>28825.681</v>
      </c>
      <c r="AC51" s="14">
        <v>28611.561</v>
      </c>
      <c r="AD51" s="14">
        <v>30026.734</v>
      </c>
      <c r="AE51" s="14">
        <v>31182.671</v>
      </c>
      <c r="AF51" s="14">
        <v>32617.266</v>
      </c>
      <c r="AG51" s="14">
        <v>32494.05</v>
      </c>
      <c r="AH51" s="14">
        <v>32591.001</v>
      </c>
    </row>
    <row r="52" spans="1:34" ht="12.75">
      <c r="A52" s="9" t="s">
        <v>89</v>
      </c>
      <c r="C52" s="9" t="s">
        <v>46</v>
      </c>
      <c r="E52" s="9" t="s">
        <v>52</v>
      </c>
      <c r="F52" s="14">
        <v>3533.18</v>
      </c>
      <c r="G52" s="31">
        <v>3791.5795</v>
      </c>
      <c r="H52" s="14">
        <v>4049.979</v>
      </c>
      <c r="I52" s="31">
        <v>4452.46</v>
      </c>
      <c r="J52" s="14">
        <v>4854.941</v>
      </c>
      <c r="K52" s="31">
        <v>5084.073</v>
      </c>
      <c r="L52" s="14">
        <v>5313.205</v>
      </c>
      <c r="M52" s="31">
        <v>5403.8335</v>
      </c>
      <c r="N52" s="14">
        <v>5494.462</v>
      </c>
      <c r="O52" s="31">
        <v>5416.886</v>
      </c>
      <c r="P52" s="14">
        <v>5339.31</v>
      </c>
      <c r="Q52" s="31">
        <v>5675.89</v>
      </c>
      <c r="R52" s="14">
        <v>6012.47</v>
      </c>
      <c r="S52" s="31">
        <v>6407.625</v>
      </c>
      <c r="T52" s="14">
        <v>6802.78</v>
      </c>
      <c r="U52" s="31">
        <v>7175.2055</v>
      </c>
      <c r="V52" s="14">
        <v>7547.631</v>
      </c>
      <c r="W52" s="31">
        <v>8023.8845</v>
      </c>
      <c r="X52" s="14">
        <v>8500.138</v>
      </c>
      <c r="Y52" s="31">
        <v>9435.049</v>
      </c>
      <c r="Z52" s="14">
        <v>10369.96</v>
      </c>
      <c r="AA52" s="31">
        <v>10191.862</v>
      </c>
      <c r="AB52" s="14">
        <v>10013.764</v>
      </c>
      <c r="AC52" s="14">
        <v>9813.083</v>
      </c>
      <c r="AD52" s="14">
        <v>10078.16</v>
      </c>
      <c r="AE52" s="14">
        <v>10880.299</v>
      </c>
      <c r="AF52" s="14">
        <v>10365.383</v>
      </c>
      <c r="AG52" s="14">
        <v>11205.483</v>
      </c>
      <c r="AH52" s="14">
        <v>10401.271</v>
      </c>
    </row>
    <row r="53" spans="1:34" ht="12.75">
      <c r="A53" s="9" t="s">
        <v>97</v>
      </c>
      <c r="C53" s="9" t="s">
        <v>46</v>
      </c>
      <c r="E53" s="9" t="s">
        <v>52</v>
      </c>
      <c r="F53" s="31">
        <v>1737.6700002368766</v>
      </c>
      <c r="G53" s="31">
        <v>1752.8283838267869</v>
      </c>
      <c r="H53" s="14">
        <v>1768.119</v>
      </c>
      <c r="I53" s="31">
        <v>1834.255</v>
      </c>
      <c r="J53" s="14">
        <v>1900.391</v>
      </c>
      <c r="K53" s="31">
        <v>1824.847</v>
      </c>
      <c r="L53" s="14">
        <v>1749.303</v>
      </c>
      <c r="M53" s="31">
        <v>1738.9165</v>
      </c>
      <c r="N53" s="14">
        <v>1728.53</v>
      </c>
      <c r="O53" s="31">
        <v>1878.954</v>
      </c>
      <c r="P53" s="14">
        <v>2029.378</v>
      </c>
      <c r="Q53" s="31">
        <v>1744.144</v>
      </c>
      <c r="R53" s="14">
        <v>1458.91</v>
      </c>
      <c r="S53" s="31">
        <v>1502.6243</v>
      </c>
      <c r="T53" s="31">
        <v>1546.3385</v>
      </c>
      <c r="U53" s="31">
        <v>1590.0528</v>
      </c>
      <c r="V53" s="14">
        <v>1633.767</v>
      </c>
      <c r="W53" s="31">
        <v>1777.0373</v>
      </c>
      <c r="X53" s="31">
        <v>1920.3075</v>
      </c>
      <c r="Y53" s="31">
        <v>2063.5778</v>
      </c>
      <c r="Z53" s="14">
        <v>2206.848</v>
      </c>
      <c r="AA53" s="31">
        <v>2374.415</v>
      </c>
      <c r="AB53" s="14">
        <v>2541.982</v>
      </c>
      <c r="AC53" s="14">
        <v>2846.527</v>
      </c>
      <c r="AD53" s="14">
        <v>3180.398</v>
      </c>
      <c r="AE53" s="14">
        <v>3485.87</v>
      </c>
      <c r="AF53" s="14">
        <v>3632.18</v>
      </c>
      <c r="AG53" s="14">
        <v>3757.632</v>
      </c>
      <c r="AH53" s="31">
        <v>3790.273638101516</v>
      </c>
    </row>
    <row r="54" spans="1:34" ht="12.75">
      <c r="A54" s="9" t="s">
        <v>79</v>
      </c>
      <c r="C54" s="9" t="s">
        <v>46</v>
      </c>
      <c r="E54" s="9" t="s">
        <v>52</v>
      </c>
      <c r="F54" s="31">
        <v>3674.679808824257</v>
      </c>
      <c r="G54" s="31">
        <v>3994.5064059523056</v>
      </c>
      <c r="H54" s="31">
        <v>4342.169184068116</v>
      </c>
      <c r="I54" s="31">
        <v>4720.090871546819</v>
      </c>
      <c r="J54" s="31">
        <v>5130.905059481466</v>
      </c>
      <c r="K54" s="31">
        <v>5577.474554167888</v>
      </c>
      <c r="L54" s="31">
        <v>6062.911326902256</v>
      </c>
      <c r="M54" s="31">
        <v>6590.59820011385</v>
      </c>
      <c r="N54" s="31">
        <v>7164.212420955332</v>
      </c>
      <c r="O54" s="31">
        <v>7787.751286625852</v>
      </c>
      <c r="P54" s="14">
        <v>8465.56</v>
      </c>
      <c r="Q54" s="14">
        <v>9416.894</v>
      </c>
      <c r="R54" s="14">
        <v>10911.853</v>
      </c>
      <c r="S54" s="14">
        <v>13000.448</v>
      </c>
      <c r="T54" s="14">
        <v>14467.301</v>
      </c>
      <c r="U54" s="14">
        <v>15879.499</v>
      </c>
      <c r="V54" s="14">
        <v>17128.756</v>
      </c>
      <c r="W54" s="14">
        <v>15183.12</v>
      </c>
      <c r="X54" s="14">
        <v>16135.046</v>
      </c>
      <c r="Y54" s="14">
        <v>18558.463</v>
      </c>
      <c r="Z54" s="14">
        <v>20787.422</v>
      </c>
      <c r="AA54" s="14">
        <v>21655.043</v>
      </c>
      <c r="AB54" s="14">
        <v>23014.79</v>
      </c>
      <c r="AC54" s="14">
        <v>25988.055</v>
      </c>
      <c r="AD54" s="14">
        <v>28111.797</v>
      </c>
      <c r="AE54" s="14">
        <v>31870.325</v>
      </c>
      <c r="AF54" s="14">
        <v>35737.053</v>
      </c>
      <c r="AG54" s="14">
        <v>38272.82</v>
      </c>
      <c r="AH54" s="31">
        <v>38605.286707640465</v>
      </c>
    </row>
    <row r="55" spans="1:34" ht="12.75">
      <c r="A55" s="9" t="s">
        <v>98</v>
      </c>
      <c r="C55" s="9" t="s">
        <v>46</v>
      </c>
      <c r="E55" s="9" t="s">
        <v>52</v>
      </c>
      <c r="F55" s="31">
        <v>2136.810449137657</v>
      </c>
      <c r="G55" s="31">
        <v>2300.6460317678707</v>
      </c>
      <c r="H55" s="31">
        <v>2477.0433735127563</v>
      </c>
      <c r="I55" s="31">
        <v>2666.965621629593</v>
      </c>
      <c r="J55" s="31">
        <v>2871.449770727034</v>
      </c>
      <c r="K55" s="31">
        <v>3091.6123248601402</v>
      </c>
      <c r="L55" s="31">
        <v>3328.6553937550075</v>
      </c>
      <c r="M55" s="31">
        <v>3583.8732564489774</v>
      </c>
      <c r="N55" s="31">
        <v>3858.6594281845746</v>
      </c>
      <c r="O55" s="31">
        <v>4154.514269143123</v>
      </c>
      <c r="P55" s="31">
        <v>4473.053176562491</v>
      </c>
      <c r="Q55" s="31">
        <v>4816.015404968756</v>
      </c>
      <c r="R55" s="31">
        <v>5185.273562681139</v>
      </c>
      <c r="S55" s="31">
        <v>5582.8438364420845</v>
      </c>
      <c r="T55" s="14">
        <v>6010.897</v>
      </c>
      <c r="U55" s="14">
        <v>6442.938</v>
      </c>
      <c r="V55" s="14">
        <v>7099.983</v>
      </c>
      <c r="W55" s="14">
        <v>7725.249</v>
      </c>
      <c r="X55" s="14">
        <v>8431.482</v>
      </c>
      <c r="Y55" s="14">
        <v>8764.114</v>
      </c>
      <c r="Z55" s="14">
        <v>9171.142</v>
      </c>
      <c r="AA55" s="14">
        <v>10081.518</v>
      </c>
      <c r="AB55" s="14">
        <v>11012.58</v>
      </c>
      <c r="AC55" s="14">
        <v>11926.759</v>
      </c>
      <c r="AD55" s="14">
        <v>12902.031</v>
      </c>
      <c r="AE55" s="14">
        <v>14254.154</v>
      </c>
      <c r="AF55" s="14">
        <v>15462.641</v>
      </c>
      <c r="AG55" s="14">
        <v>16792.343</v>
      </c>
      <c r="AH55" s="31">
        <v>16938.214012138105</v>
      </c>
    </row>
    <row r="56" spans="1:34" ht="12.75">
      <c r="A56" s="9" t="s">
        <v>68</v>
      </c>
      <c r="C56" s="9" t="s">
        <v>46</v>
      </c>
      <c r="E56" s="9" t="s">
        <v>52</v>
      </c>
      <c r="F56" s="31">
        <v>2635.4803323787914</v>
      </c>
      <c r="G56" s="31">
        <v>2686.7964211597673</v>
      </c>
      <c r="H56" s="31">
        <v>2727.2358484780525</v>
      </c>
      <c r="I56" s="31">
        <v>2791.234124524526</v>
      </c>
      <c r="J56" s="31">
        <v>2812.987447449908</v>
      </c>
      <c r="K56" s="31">
        <v>2864.9126292727947</v>
      </c>
      <c r="L56" s="31">
        <v>2879.400342341099</v>
      </c>
      <c r="M56" s="31">
        <v>2943.3986183875727</v>
      </c>
      <c r="N56" s="31">
        <v>2967.5448068347464</v>
      </c>
      <c r="O56" s="31">
        <v>2883.620486988623</v>
      </c>
      <c r="P56" s="14">
        <v>2522.015</v>
      </c>
      <c r="Q56" s="14">
        <v>2139.572</v>
      </c>
      <c r="R56" s="14">
        <v>1502.389</v>
      </c>
      <c r="S56" s="14">
        <v>1396.026</v>
      </c>
      <c r="T56" s="14">
        <v>1364.121</v>
      </c>
      <c r="U56" s="14">
        <v>1438.065</v>
      </c>
      <c r="V56" s="14">
        <v>1588.934</v>
      </c>
      <c r="W56" s="14">
        <v>1679.239</v>
      </c>
      <c r="X56" s="14">
        <v>1688.599</v>
      </c>
      <c r="Y56" s="14">
        <v>1863.387</v>
      </c>
      <c r="Z56" s="14">
        <v>1900.913</v>
      </c>
      <c r="AA56" s="14">
        <v>1928.053</v>
      </c>
      <c r="AB56" s="14">
        <v>2084.329</v>
      </c>
      <c r="AC56" s="14">
        <v>2169.318</v>
      </c>
      <c r="AD56" s="14">
        <v>2616.889</v>
      </c>
      <c r="AE56" s="14">
        <v>3060.544</v>
      </c>
      <c r="AF56" s="14">
        <v>3220.596</v>
      </c>
      <c r="AG56" s="14">
        <v>3152.39</v>
      </c>
      <c r="AH56" s="14">
        <v>3144.724</v>
      </c>
    </row>
    <row r="57" spans="1:34" ht="12.75">
      <c r="A57" s="9" t="s">
        <v>91</v>
      </c>
      <c r="C57" s="9" t="s">
        <v>46</v>
      </c>
      <c r="E57" s="9" t="s">
        <v>52</v>
      </c>
      <c r="F57" s="31">
        <v>396.4371552057665</v>
      </c>
      <c r="G57" s="31">
        <v>438.9909319236637</v>
      </c>
      <c r="H57" s="31">
        <v>486.1124538419743</v>
      </c>
      <c r="I57" s="31">
        <v>538.2920251786813</v>
      </c>
      <c r="J57" s="31">
        <v>596.0725796693143</v>
      </c>
      <c r="K57" s="31">
        <v>660.0553298475702</v>
      </c>
      <c r="L57" s="31">
        <v>730.9060227227443</v>
      </c>
      <c r="M57" s="31">
        <v>809.3618669449297</v>
      </c>
      <c r="N57" s="31">
        <v>896.2392035358417</v>
      </c>
      <c r="O57" s="14">
        <v>992.442</v>
      </c>
      <c r="P57" s="14">
        <v>1631.011</v>
      </c>
      <c r="Q57" s="14">
        <v>1602.541</v>
      </c>
      <c r="R57" s="14">
        <v>1564.915</v>
      </c>
      <c r="S57" s="14">
        <v>1208.425</v>
      </c>
      <c r="T57" s="14">
        <v>1361.5</v>
      </c>
      <c r="U57" s="14">
        <v>1730.63</v>
      </c>
      <c r="V57" s="14">
        <v>2026.159</v>
      </c>
      <c r="W57" s="14">
        <v>2118.415</v>
      </c>
      <c r="X57" s="14">
        <v>2580.842</v>
      </c>
      <c r="Y57" s="14">
        <v>2822.961</v>
      </c>
      <c r="Z57" s="14">
        <v>2988.29</v>
      </c>
      <c r="AA57" s="14">
        <v>3102.592</v>
      </c>
      <c r="AB57" s="14">
        <v>2999.997</v>
      </c>
      <c r="AC57" s="14">
        <v>3519.922</v>
      </c>
      <c r="AD57" s="14">
        <v>4351.076</v>
      </c>
      <c r="AE57" s="14">
        <v>4565.407</v>
      </c>
      <c r="AF57" s="14">
        <v>5950.176</v>
      </c>
      <c r="AG57" s="14">
        <v>6012.338</v>
      </c>
      <c r="AH57" s="14">
        <v>6695.336</v>
      </c>
    </row>
    <row r="58" spans="1:34" ht="12.75">
      <c r="A58" s="9" t="s">
        <v>71</v>
      </c>
      <c r="C58" s="9" t="s">
        <v>46</v>
      </c>
      <c r="E58" s="9" t="s">
        <v>52</v>
      </c>
      <c r="F58" s="14">
        <v>30009.317</v>
      </c>
      <c r="G58" s="14">
        <v>30763.361</v>
      </c>
      <c r="H58" s="14">
        <v>31345.844</v>
      </c>
      <c r="I58" s="14">
        <v>32238.25</v>
      </c>
      <c r="J58" s="14">
        <v>35366.891</v>
      </c>
      <c r="K58" s="14">
        <v>36551.541</v>
      </c>
      <c r="L58" s="14">
        <v>38642.236</v>
      </c>
      <c r="M58" s="14">
        <v>39882.763</v>
      </c>
      <c r="N58" s="14">
        <v>41192.268</v>
      </c>
      <c r="O58" s="14">
        <v>41639.798</v>
      </c>
      <c r="P58" s="14">
        <v>44898.061</v>
      </c>
      <c r="Q58" s="14">
        <v>43725.381</v>
      </c>
      <c r="R58" s="14">
        <v>42082.08</v>
      </c>
      <c r="S58" s="14">
        <v>41399.48</v>
      </c>
      <c r="T58" s="14">
        <v>42265.969</v>
      </c>
      <c r="U58" s="14">
        <v>42791.377</v>
      </c>
      <c r="V58" s="14">
        <v>44419.512</v>
      </c>
      <c r="W58" s="14">
        <v>46018.304</v>
      </c>
      <c r="X58" s="14">
        <v>49493.096</v>
      </c>
      <c r="Y58" s="14">
        <v>52341.917</v>
      </c>
      <c r="Z58" s="14">
        <v>53133.671</v>
      </c>
      <c r="AA58" s="14">
        <v>53761.312</v>
      </c>
      <c r="AB58" s="14">
        <v>54302.955</v>
      </c>
      <c r="AC58" s="14">
        <v>54210.45</v>
      </c>
      <c r="AD58" s="14">
        <v>54612.811</v>
      </c>
      <c r="AE58" s="14">
        <v>57374.371</v>
      </c>
      <c r="AF58" s="14">
        <v>58925.432</v>
      </c>
      <c r="AG58" s="14">
        <v>63128.513</v>
      </c>
      <c r="AH58" s="14">
        <v>63310.674</v>
      </c>
    </row>
    <row r="59" spans="1:34" ht="12.75">
      <c r="A59" s="9" t="s">
        <v>73</v>
      </c>
      <c r="C59" s="9" t="s">
        <v>46</v>
      </c>
      <c r="E59" s="9" t="s">
        <v>52</v>
      </c>
      <c r="F59" s="31">
        <v>1113.1308787962826</v>
      </c>
      <c r="G59" s="31">
        <v>1131.292911372638</v>
      </c>
      <c r="H59" s="31">
        <v>1132.509403055686</v>
      </c>
      <c r="I59" s="31">
        <v>1150.3675776863606</v>
      </c>
      <c r="J59" s="31">
        <v>1158.5524022251673</v>
      </c>
      <c r="K59" s="31">
        <v>1186.6113040938496</v>
      </c>
      <c r="L59" s="31">
        <v>1227.8852484752933</v>
      </c>
      <c r="M59" s="31">
        <v>1208.9833085910889</v>
      </c>
      <c r="N59" s="31">
        <v>1218.327175496431</v>
      </c>
      <c r="O59" s="31">
        <v>1180.2421688337938</v>
      </c>
      <c r="P59" s="14">
        <v>1074.789</v>
      </c>
      <c r="Q59" s="14">
        <v>1025.398</v>
      </c>
      <c r="R59" s="14">
        <v>946.388</v>
      </c>
      <c r="S59" s="14">
        <v>887.142</v>
      </c>
      <c r="T59" s="14">
        <v>742.333</v>
      </c>
      <c r="U59" s="14">
        <v>657.627</v>
      </c>
      <c r="V59" s="14">
        <v>758.388</v>
      </c>
      <c r="W59" s="14">
        <v>744.581</v>
      </c>
      <c r="X59" s="14">
        <v>793.34</v>
      </c>
      <c r="Y59" s="14">
        <v>976.709</v>
      </c>
      <c r="Z59" s="14">
        <v>1181.037</v>
      </c>
      <c r="AA59" s="14">
        <v>1332.476</v>
      </c>
      <c r="AB59" s="14">
        <v>1299.066</v>
      </c>
      <c r="AC59" s="14">
        <v>1268.657</v>
      </c>
      <c r="AD59" s="14">
        <v>1419.722</v>
      </c>
      <c r="AE59" s="14">
        <v>1560.155</v>
      </c>
      <c r="AF59" s="14">
        <v>1521.323</v>
      </c>
      <c r="AG59" s="14">
        <v>1574.072</v>
      </c>
      <c r="AH59" s="14">
        <v>1693.693</v>
      </c>
    </row>
    <row r="60" spans="1:34" ht="12.75">
      <c r="A60" s="9" t="s">
        <v>64</v>
      </c>
      <c r="C60" s="9" t="s">
        <v>46</v>
      </c>
      <c r="E60" s="9" t="s">
        <v>52</v>
      </c>
      <c r="F60" s="14">
        <v>123590.52</v>
      </c>
      <c r="G60" s="14">
        <v>129969.703</v>
      </c>
      <c r="H60" s="14">
        <v>139252.309</v>
      </c>
      <c r="I60" s="14">
        <v>152727.329</v>
      </c>
      <c r="J60" s="14">
        <v>165983.86</v>
      </c>
      <c r="K60" s="14">
        <v>169884.789</v>
      </c>
      <c r="L60" s="14">
        <v>173400.486</v>
      </c>
      <c r="M60" s="14">
        <v>177580.949</v>
      </c>
      <c r="N60" s="14">
        <v>181329.983</v>
      </c>
      <c r="O60" s="14">
        <v>187056.327</v>
      </c>
      <c r="P60" s="14">
        <v>191319.748</v>
      </c>
      <c r="Q60" s="14">
        <v>192032.593</v>
      </c>
      <c r="R60" s="14">
        <v>188260.965</v>
      </c>
      <c r="S60" s="14">
        <v>188250.46</v>
      </c>
      <c r="T60" s="14">
        <v>200151.538</v>
      </c>
      <c r="U60" s="14">
        <v>211029.123</v>
      </c>
      <c r="V60" s="14">
        <v>222989.941</v>
      </c>
      <c r="W60" s="14">
        <v>235241.737</v>
      </c>
      <c r="X60" s="14">
        <v>250860.629</v>
      </c>
      <c r="Y60" s="14">
        <v>268121</v>
      </c>
      <c r="Z60" s="14">
        <v>272070.775</v>
      </c>
      <c r="AA60" s="14">
        <v>266592.8</v>
      </c>
      <c r="AB60" s="14">
        <v>272901.811</v>
      </c>
      <c r="AC60" s="14">
        <v>275048.976</v>
      </c>
      <c r="AD60" s="14">
        <v>286341.65</v>
      </c>
      <c r="AE60" s="14">
        <v>298578.771</v>
      </c>
      <c r="AF60" s="14">
        <v>311210.058</v>
      </c>
      <c r="AG60" s="14">
        <v>324987.094</v>
      </c>
      <c r="AH60" s="31">
        <v>327810.17808859923</v>
      </c>
    </row>
    <row r="61" spans="1:34" ht="12.75">
      <c r="A61" s="9" t="s">
        <v>65</v>
      </c>
      <c r="C61" s="9" t="s">
        <v>46</v>
      </c>
      <c r="E61" s="9" t="s">
        <v>52</v>
      </c>
      <c r="F61" s="14">
        <v>1590.378</v>
      </c>
      <c r="G61" s="14">
        <v>1690.509</v>
      </c>
      <c r="H61" s="14">
        <v>1755.087</v>
      </c>
      <c r="I61" s="14">
        <v>1832.85</v>
      </c>
      <c r="J61" s="14">
        <v>1881.35</v>
      </c>
      <c r="K61" s="14">
        <v>1987.604</v>
      </c>
      <c r="L61" s="14">
        <v>2027.356</v>
      </c>
      <c r="M61" s="14">
        <v>2153.043</v>
      </c>
      <c r="N61" s="14">
        <v>2269.038</v>
      </c>
      <c r="O61" s="14">
        <v>2449.547</v>
      </c>
      <c r="P61" s="14">
        <v>2674.38</v>
      </c>
      <c r="Q61" s="14">
        <v>2702.451</v>
      </c>
      <c r="R61" s="14">
        <v>2747.124</v>
      </c>
      <c r="S61" s="14">
        <v>2963.395</v>
      </c>
      <c r="T61" s="14">
        <v>3078.326</v>
      </c>
      <c r="U61" s="14">
        <v>3257.842</v>
      </c>
      <c r="V61" s="14">
        <v>3535.747</v>
      </c>
      <c r="W61" s="14">
        <v>3833.302</v>
      </c>
      <c r="X61" s="14">
        <v>4225.276</v>
      </c>
      <c r="Y61" s="14">
        <v>4474.396</v>
      </c>
      <c r="Z61" s="14">
        <v>4789.809</v>
      </c>
      <c r="AA61" s="14">
        <v>5040.855</v>
      </c>
      <c r="AB61" s="14">
        <v>5360.107</v>
      </c>
      <c r="AC61" s="14">
        <v>5489.732</v>
      </c>
      <c r="AD61" s="14">
        <v>6115.181</v>
      </c>
      <c r="AE61" s="14">
        <v>6354.128</v>
      </c>
      <c r="AF61" s="14">
        <v>6767.387</v>
      </c>
      <c r="AG61" s="14">
        <v>7311.061</v>
      </c>
      <c r="AH61" s="14">
        <v>7240.894</v>
      </c>
    </row>
  </sheetData>
  <hyperlinks>
    <hyperlink ref="A2" location="'Ægte opsparing'!A1" display="Retur til forsiden"/>
  </hyperlinks>
  <printOptions/>
  <pageMargins left="0.75" right="0.75" top="1" bottom="1" header="0" footer="0"/>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A11"/>
  <sheetViews>
    <sheetView workbookViewId="0" topLeftCell="A1">
      <selection activeCell="A1" sqref="A1"/>
    </sheetView>
  </sheetViews>
  <sheetFormatPr defaultColWidth="9.140625" defaultRowHeight="12.75"/>
  <cols>
    <col min="1" max="2" width="9.140625" style="9" customWidth="1"/>
    <col min="3" max="3" width="17.57421875" style="9" customWidth="1"/>
    <col min="4" max="4" width="9.140625" style="9" customWidth="1"/>
    <col min="5" max="5" width="20.28125" style="9" bestFit="1" customWidth="1"/>
    <col min="6" max="6" width="12.00390625" style="9" customWidth="1"/>
    <col min="7" max="7" width="14.140625" style="9" customWidth="1"/>
    <col min="8" max="8" width="12.421875" style="9" customWidth="1"/>
    <col min="9" max="9" width="13.57421875" style="9" customWidth="1"/>
    <col min="10" max="24" width="12.28125" style="9" bestFit="1" customWidth="1"/>
    <col min="25" max="25" width="14.00390625" style="9" customWidth="1"/>
    <col min="26" max="26" width="12.140625" style="9" customWidth="1"/>
    <col min="27" max="16384" width="9.140625" style="9" customWidth="1"/>
  </cols>
  <sheetData>
    <row r="1" s="15" customFormat="1" ht="37.5" customHeight="1">
      <c r="A1" s="15" t="s">
        <v>281</v>
      </c>
    </row>
    <row r="2" spans="1:27" s="17" customFormat="1" ht="30" customHeight="1">
      <c r="A2" s="16" t="s">
        <v>287</v>
      </c>
      <c r="C2" s="17" t="s">
        <v>3</v>
      </c>
      <c r="D2" s="17" t="s">
        <v>2</v>
      </c>
      <c r="E2" s="17" t="s">
        <v>1</v>
      </c>
      <c r="F2" s="17">
        <v>1989</v>
      </c>
      <c r="G2" s="17">
        <v>1990</v>
      </c>
      <c r="H2" s="17">
        <v>1991</v>
      </c>
      <c r="I2" s="17">
        <v>1992</v>
      </c>
      <c r="J2" s="17">
        <v>1993</v>
      </c>
      <c r="K2" s="17">
        <v>1994</v>
      </c>
      <c r="L2" s="17">
        <v>1995</v>
      </c>
      <c r="M2" s="17">
        <v>1996</v>
      </c>
      <c r="N2" s="17">
        <v>1997</v>
      </c>
      <c r="O2" s="17">
        <v>1998</v>
      </c>
      <c r="P2" s="17">
        <v>1999</v>
      </c>
      <c r="Q2" s="17">
        <v>2000</v>
      </c>
      <c r="R2" s="17">
        <v>2001</v>
      </c>
      <c r="S2" s="17">
        <v>2002</v>
      </c>
      <c r="T2" s="17">
        <v>2003</v>
      </c>
      <c r="U2" s="17">
        <v>2004</v>
      </c>
      <c r="V2" s="17">
        <v>2005</v>
      </c>
      <c r="W2" s="17">
        <v>2006</v>
      </c>
      <c r="X2" s="17">
        <v>2007</v>
      </c>
      <c r="Y2" s="17">
        <v>2008</v>
      </c>
      <c r="Z2" s="17">
        <v>2009</v>
      </c>
      <c r="AA2" s="17">
        <v>2010</v>
      </c>
    </row>
    <row r="3" spans="1:27" ht="12.75">
      <c r="A3" s="9" t="s">
        <v>21</v>
      </c>
      <c r="E3" s="9" t="s">
        <v>25</v>
      </c>
      <c r="F3" s="8"/>
      <c r="G3" s="8">
        <f>G10</f>
        <v>94.93944543725229</v>
      </c>
      <c r="H3" s="8">
        <f aca="true" t="shared" si="0" ref="H3:Z3">H10</f>
        <v>211.5399462103087</v>
      </c>
      <c r="I3" s="8">
        <f t="shared" si="0"/>
        <v>213.56905840155378</v>
      </c>
      <c r="J3" s="8">
        <f t="shared" si="0"/>
        <v>344.0096126030403</v>
      </c>
      <c r="K3" s="8">
        <f t="shared" si="0"/>
        <v>327.7532951404137</v>
      </c>
      <c r="L3" s="8">
        <f t="shared" si="0"/>
        <v>355.7596448796394</v>
      </c>
      <c r="M3" s="8">
        <f t="shared" si="0"/>
        <v>668.2441505157476</v>
      </c>
      <c r="N3" s="8">
        <f t="shared" si="0"/>
        <v>445.0725801593944</v>
      </c>
      <c r="O3" s="8">
        <f t="shared" si="0"/>
        <v>354.9395941943221</v>
      </c>
      <c r="P3" s="8">
        <f t="shared" si="0"/>
        <v>335.1982032192318</v>
      </c>
      <c r="Q3" s="8">
        <f t="shared" si="0"/>
        <v>277.6356213288236</v>
      </c>
      <c r="R3" s="8">
        <f t="shared" si="0"/>
        <v>337.189787298179</v>
      </c>
      <c r="S3" s="8">
        <f t="shared" si="0"/>
        <v>311.4893583540688</v>
      </c>
      <c r="T3" s="8">
        <f t="shared" si="0"/>
        <v>249.6048134767625</v>
      </c>
      <c r="U3" s="8">
        <f t="shared" si="0"/>
        <v>201.44684361183317</v>
      </c>
      <c r="V3" s="8">
        <f t="shared" si="0"/>
        <v>195.49665804230608</v>
      </c>
      <c r="W3" s="8">
        <f t="shared" si="0"/>
        <v>223.04939446630306</v>
      </c>
      <c r="X3" s="8">
        <f t="shared" si="0"/>
        <v>348.46349981571257</v>
      </c>
      <c r="Y3" s="8">
        <f t="shared" si="0"/>
        <v>434.71394973571296</v>
      </c>
      <c r="Z3" s="8">
        <f t="shared" si="0"/>
        <v>548.8684474554902</v>
      </c>
      <c r="AA3" s="8"/>
    </row>
    <row r="4" spans="1:27" ht="12.75">
      <c r="A4" s="9" t="s">
        <v>21</v>
      </c>
      <c r="E4" s="9" t="s">
        <v>105</v>
      </c>
      <c r="F4" s="8"/>
      <c r="G4" s="8">
        <f>G3/BNP!Y3*100</f>
        <v>8.449576845608071</v>
      </c>
      <c r="H4" s="8">
        <f>H3/BNP!Z3*100</f>
        <v>18.585481129002694</v>
      </c>
      <c r="I4" s="8">
        <f>I3/BNP!AA3*100</f>
        <v>18.401607651348765</v>
      </c>
      <c r="J4" s="8">
        <f>J3/BNP!AB3*100</f>
        <v>29.666230821234933</v>
      </c>
      <c r="K4" s="8">
        <f>K3/BNP!AC3*100</f>
        <v>26.783794650683472</v>
      </c>
      <c r="L4" s="8">
        <f>L3/BNP!AD3*100</f>
        <v>28.20802766251502</v>
      </c>
      <c r="M4" s="8">
        <f>M3/BNP!AE3*100</f>
        <v>51.526266521377714</v>
      </c>
      <c r="N4" s="8">
        <f>N3/BNP!AF3*100</f>
        <v>33.2540780154957</v>
      </c>
      <c r="O4" s="8">
        <f>O3/BNP!AG3*100</f>
        <v>25.959159964479056</v>
      </c>
      <c r="P4" s="8">
        <f>P3/BNP!AH3*100</f>
        <v>23.90345883329044</v>
      </c>
      <c r="Q4" s="8">
        <f>Q3/BNP!AI3*100</f>
        <v>19.123544656896517</v>
      </c>
      <c r="R4" s="8">
        <f>R3/BNP!AJ3*100</f>
        <v>23.06201951290466</v>
      </c>
      <c r="S4" s="8">
        <f>S3/BNP!AK3*100</f>
        <v>21.205620420319203</v>
      </c>
      <c r="T4" s="8">
        <f>T3/BNP!AL3*100</f>
        <v>16.928098574212445</v>
      </c>
      <c r="U4" s="8">
        <f>U3/BNP!AM3*100</f>
        <v>13.355001565356217</v>
      </c>
      <c r="V4" s="8">
        <f>V3/BNP!AN3*100</f>
        <v>12.651048860564684</v>
      </c>
      <c r="W4" s="8">
        <f>W3/BNP!AO3*100</f>
        <v>13.960655596564001</v>
      </c>
      <c r="X4" s="8">
        <f>X3/BNP!AP3*100</f>
        <v>21.47033270583565</v>
      </c>
      <c r="Y4" s="8">
        <f>Y3/BNP!AQ3*100</f>
        <v>26.99583616318158</v>
      </c>
      <c r="Z4" s="8">
        <f>Z3/BNP!AR3*100</f>
        <v>36.19787953937151</v>
      </c>
      <c r="AA4" s="8"/>
    </row>
    <row r="5" spans="6:27" ht="12.75">
      <c r="F5" s="8"/>
      <c r="G5" s="8"/>
      <c r="H5" s="8"/>
      <c r="I5" s="8"/>
      <c r="J5" s="8"/>
      <c r="K5" s="8"/>
      <c r="L5" s="8"/>
      <c r="M5" s="8"/>
      <c r="N5" s="8"/>
      <c r="O5" s="8"/>
      <c r="P5" s="8"/>
      <c r="Q5" s="8"/>
      <c r="R5" s="8"/>
      <c r="S5" s="8"/>
      <c r="T5" s="8"/>
      <c r="U5" s="8"/>
      <c r="V5" s="8"/>
      <c r="W5" s="8"/>
      <c r="X5" s="8"/>
      <c r="Y5" s="8"/>
      <c r="Z5" s="8"/>
      <c r="AA5" s="8"/>
    </row>
    <row r="6" spans="1:27" ht="12.75">
      <c r="A6" s="9" t="s">
        <v>112</v>
      </c>
      <c r="C6" s="9" t="s">
        <v>116</v>
      </c>
      <c r="D6" s="9" t="s">
        <v>124</v>
      </c>
      <c r="E6" s="9" t="s">
        <v>117</v>
      </c>
      <c r="F6" s="14">
        <v>253351915.77842194</v>
      </c>
      <c r="G6" s="14">
        <v>253631570.29276386</v>
      </c>
      <c r="H6" s="14">
        <v>254345179.45575482</v>
      </c>
      <c r="I6" s="14">
        <v>255082167.30858472</v>
      </c>
      <c r="J6" s="14">
        <v>256306574.72815084</v>
      </c>
      <c r="K6" s="14">
        <v>257478854.96905923</v>
      </c>
      <c r="L6" s="14">
        <v>258771796.40585673</v>
      </c>
      <c r="M6" s="14">
        <v>261133906.440382</v>
      </c>
      <c r="N6" s="14">
        <v>262685751.821275</v>
      </c>
      <c r="O6" s="14">
        <v>263896560.37306708</v>
      </c>
      <c r="P6" s="14">
        <v>264999429.15208703</v>
      </c>
      <c r="Q6" s="14">
        <v>265915189.9975618</v>
      </c>
      <c r="R6" s="14">
        <v>267048048.21616548</v>
      </c>
      <c r="S6" s="14">
        <v>268071718.61085793</v>
      </c>
      <c r="T6" s="14">
        <v>268861415.3514822</v>
      </c>
      <c r="U6" s="14">
        <v>269474555.93383884</v>
      </c>
      <c r="V6" s="14">
        <v>270042475.21017885</v>
      </c>
      <c r="W6" s="14">
        <v>270693027.4132304</v>
      </c>
      <c r="X6" s="14">
        <v>271778499.91825736</v>
      </c>
      <c r="Y6" s="14">
        <v>273146368.59873533</v>
      </c>
      <c r="Z6" s="14">
        <v>274904577.5004567</v>
      </c>
      <c r="AA6" s="8"/>
    </row>
    <row r="7" spans="1:27" ht="12.75">
      <c r="A7" s="9" t="s">
        <v>113</v>
      </c>
      <c r="C7" s="9" t="s">
        <v>116</v>
      </c>
      <c r="D7" s="9" t="s">
        <v>119</v>
      </c>
      <c r="E7" s="9" t="s">
        <v>118</v>
      </c>
      <c r="F7" s="14">
        <v>123919493.47631733</v>
      </c>
      <c r="G7" s="14">
        <v>124064582.19055891</v>
      </c>
      <c r="H7" s="14">
        <v>124387862.55800828</v>
      </c>
      <c r="I7" s="14">
        <v>124714243.86287645</v>
      </c>
      <c r="J7" s="14">
        <v>125239967.51914446</v>
      </c>
      <c r="K7" s="14">
        <v>125740847.88516471</v>
      </c>
      <c r="L7" s="14">
        <v>126284528.2196865</v>
      </c>
      <c r="M7" s="14">
        <v>127305754.7936492</v>
      </c>
      <c r="N7" s="14">
        <v>127985925.2760247</v>
      </c>
      <c r="O7" s="14">
        <v>128528352.38962239</v>
      </c>
      <c r="P7" s="14">
        <v>129040610.24090001</v>
      </c>
      <c r="Q7" s="14">
        <v>129464899.58808067</v>
      </c>
      <c r="R7" s="14">
        <v>129980201.02542505</v>
      </c>
      <c r="S7" s="14">
        <v>130456226.4571662</v>
      </c>
      <c r="T7" s="14">
        <v>130837678.45837677</v>
      </c>
      <c r="U7" s="14">
        <v>131145534.30683953</v>
      </c>
      <c r="V7" s="14">
        <v>131444296.9404662</v>
      </c>
      <c r="W7" s="14">
        <v>131785166.31995791</v>
      </c>
      <c r="X7" s="14">
        <v>132317696.51239315</v>
      </c>
      <c r="Y7" s="14">
        <v>132982036.68985637</v>
      </c>
      <c r="Z7" s="14">
        <v>133820830.48059677</v>
      </c>
      <c r="AA7" s="8"/>
    </row>
    <row r="8" spans="1:27" ht="12.75">
      <c r="A8" s="9" t="s">
        <v>120</v>
      </c>
      <c r="C8" s="9" t="s">
        <v>126</v>
      </c>
      <c r="D8" s="9" t="s">
        <v>122</v>
      </c>
      <c r="E8" s="9" t="s">
        <v>121</v>
      </c>
      <c r="F8" s="14"/>
      <c r="G8" s="14"/>
      <c r="H8" s="14"/>
      <c r="I8" s="14"/>
      <c r="J8" s="14"/>
      <c r="K8" s="14"/>
      <c r="L8" s="14"/>
      <c r="M8" s="14"/>
      <c r="N8" s="14"/>
      <c r="O8" s="14"/>
      <c r="P8" s="14"/>
      <c r="Q8" s="14"/>
      <c r="R8" s="14"/>
      <c r="S8" s="14"/>
      <c r="T8" s="14"/>
      <c r="U8" s="14"/>
      <c r="V8" s="14">
        <v>654354.4474393531</v>
      </c>
      <c r="W8" s="14"/>
      <c r="X8" s="14"/>
      <c r="Y8" s="14"/>
      <c r="Z8" s="14"/>
      <c r="AA8" s="8"/>
    </row>
    <row r="9" spans="1:27" ht="12.75">
      <c r="A9" s="9" t="s">
        <v>114</v>
      </c>
      <c r="E9" s="9" t="s">
        <v>123</v>
      </c>
      <c r="F9" s="14">
        <f>F7*$V8/1000000000</f>
        <v>81087.27168066014</v>
      </c>
      <c r="G9" s="14">
        <f aca="true" t="shared" si="1" ref="G9:Z9">G7*$V8/1000000000</f>
        <v>81182.21112609739</v>
      </c>
      <c r="H9" s="14">
        <f t="shared" si="1"/>
        <v>81393.7510723077</v>
      </c>
      <c r="I9" s="14">
        <f t="shared" si="1"/>
        <v>81607.32013070925</v>
      </c>
      <c r="J9" s="14">
        <f t="shared" si="1"/>
        <v>81951.3297433123</v>
      </c>
      <c r="K9" s="14">
        <f t="shared" si="1"/>
        <v>82279.0830384527</v>
      </c>
      <c r="L9" s="14">
        <f t="shared" si="1"/>
        <v>82634.84268333235</v>
      </c>
      <c r="M9" s="14">
        <f t="shared" si="1"/>
        <v>83303.0868338481</v>
      </c>
      <c r="N9" s="14">
        <f t="shared" si="1"/>
        <v>83748.15941400749</v>
      </c>
      <c r="O9" s="14">
        <f t="shared" si="1"/>
        <v>84103.09900820181</v>
      </c>
      <c r="P9" s="14">
        <f t="shared" si="1"/>
        <v>84438.29721142104</v>
      </c>
      <c r="Q9" s="14">
        <f t="shared" si="1"/>
        <v>84715.93283274987</v>
      </c>
      <c r="R9" s="14">
        <f t="shared" si="1"/>
        <v>85053.12262004805</v>
      </c>
      <c r="S9" s="14">
        <f t="shared" si="1"/>
        <v>85364.61197840211</v>
      </c>
      <c r="T9" s="14">
        <f t="shared" si="1"/>
        <v>85614.21679187888</v>
      </c>
      <c r="U9" s="14">
        <f t="shared" si="1"/>
        <v>85815.66363549071</v>
      </c>
      <c r="V9" s="14">
        <f t="shared" si="1"/>
        <v>86011.16029353302</v>
      </c>
      <c r="W9" s="14">
        <f t="shared" si="1"/>
        <v>86234.20968799932</v>
      </c>
      <c r="X9" s="14">
        <f t="shared" si="1"/>
        <v>86582.67318781503</v>
      </c>
      <c r="Y9" s="14">
        <f t="shared" si="1"/>
        <v>87017.38713755074</v>
      </c>
      <c r="Z9" s="14">
        <f t="shared" si="1"/>
        <v>87566.25558500623</v>
      </c>
      <c r="AA9" s="8"/>
    </row>
    <row r="10" spans="1:27" ht="12.75">
      <c r="A10" s="9" t="s">
        <v>115</v>
      </c>
      <c r="E10" s="9" t="s">
        <v>123</v>
      </c>
      <c r="F10" s="8" t="s">
        <v>125</v>
      </c>
      <c r="G10" s="8">
        <f>G9-F9</f>
        <v>94.93944543725229</v>
      </c>
      <c r="H10" s="8">
        <f aca="true" t="shared" si="2" ref="H10:Z10">H9-G9</f>
        <v>211.5399462103087</v>
      </c>
      <c r="I10" s="8">
        <f t="shared" si="2"/>
        <v>213.56905840155378</v>
      </c>
      <c r="J10" s="8">
        <f t="shared" si="2"/>
        <v>344.0096126030403</v>
      </c>
      <c r="K10" s="8">
        <f t="shared" si="2"/>
        <v>327.7532951404137</v>
      </c>
      <c r="L10" s="8">
        <f t="shared" si="2"/>
        <v>355.7596448796394</v>
      </c>
      <c r="M10" s="8">
        <f t="shared" si="2"/>
        <v>668.2441505157476</v>
      </c>
      <c r="N10" s="8">
        <f t="shared" si="2"/>
        <v>445.0725801593944</v>
      </c>
      <c r="O10" s="8">
        <f t="shared" si="2"/>
        <v>354.9395941943221</v>
      </c>
      <c r="P10" s="8">
        <f t="shared" si="2"/>
        <v>335.1982032192318</v>
      </c>
      <c r="Q10" s="8">
        <f t="shared" si="2"/>
        <v>277.6356213288236</v>
      </c>
      <c r="R10" s="8">
        <f t="shared" si="2"/>
        <v>337.189787298179</v>
      </c>
      <c r="S10" s="8">
        <f t="shared" si="2"/>
        <v>311.4893583540688</v>
      </c>
      <c r="T10" s="8">
        <f t="shared" si="2"/>
        <v>249.6048134767625</v>
      </c>
      <c r="U10" s="8">
        <f t="shared" si="2"/>
        <v>201.44684361183317</v>
      </c>
      <c r="V10" s="8">
        <f t="shared" si="2"/>
        <v>195.49665804230608</v>
      </c>
      <c r="W10" s="8">
        <f t="shared" si="2"/>
        <v>223.04939446630306</v>
      </c>
      <c r="X10" s="8">
        <f t="shared" si="2"/>
        <v>348.46349981571257</v>
      </c>
      <c r="Y10" s="8">
        <f t="shared" si="2"/>
        <v>434.71394973571296</v>
      </c>
      <c r="Z10" s="8">
        <f t="shared" si="2"/>
        <v>548.8684474554902</v>
      </c>
      <c r="AA10" s="8"/>
    </row>
    <row r="11" spans="6:27" ht="12.75">
      <c r="F11" s="8"/>
      <c r="G11" s="8"/>
      <c r="H11" s="8"/>
      <c r="I11" s="8"/>
      <c r="J11" s="8"/>
      <c r="K11" s="8"/>
      <c r="L11" s="8"/>
      <c r="M11" s="8"/>
      <c r="N11" s="8"/>
      <c r="O11" s="8"/>
      <c r="P11" s="8"/>
      <c r="Q11" s="8"/>
      <c r="R11" s="8"/>
      <c r="S11" s="8"/>
      <c r="T11" s="8"/>
      <c r="U11" s="8"/>
      <c r="V11" s="8"/>
      <c r="W11" s="8"/>
      <c r="X11" s="8"/>
      <c r="Y11" s="8"/>
      <c r="Z11" s="8"/>
      <c r="AA11" s="8"/>
    </row>
  </sheetData>
  <hyperlinks>
    <hyperlink ref="A2" location="'Ægte opsparing'!A1" display="Retur til forsiden"/>
  </hyperlinks>
  <printOptions/>
  <pageMargins left="0.75" right="0.75" top="1" bottom="1"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S40"/>
  <sheetViews>
    <sheetView workbookViewId="0" topLeftCell="A1">
      <selection activeCell="A2" sqref="A2"/>
    </sheetView>
  </sheetViews>
  <sheetFormatPr defaultColWidth="9.140625" defaultRowHeight="12.75"/>
  <cols>
    <col min="1" max="3" width="9.140625" style="21" customWidth="1"/>
    <col min="4" max="4" width="10.57421875" style="21" customWidth="1"/>
    <col min="5" max="16384" width="9.140625" style="21" customWidth="1"/>
  </cols>
  <sheetData>
    <row r="1" s="15" customFormat="1" ht="37.5" customHeight="1">
      <c r="A1" s="15" t="s">
        <v>294</v>
      </c>
    </row>
    <row r="2" spans="1:45" s="17" customFormat="1" ht="30" customHeight="1">
      <c r="A2" s="16" t="s">
        <v>287</v>
      </c>
      <c r="B2" s="16"/>
      <c r="C2" s="17" t="s">
        <v>3</v>
      </c>
      <c r="D2" s="17" t="s">
        <v>2</v>
      </c>
      <c r="E2" s="17" t="s">
        <v>1</v>
      </c>
      <c r="F2" s="17">
        <v>1971</v>
      </c>
      <c r="G2" s="17">
        <v>1972</v>
      </c>
      <c r="H2" s="17">
        <v>1973</v>
      </c>
      <c r="I2" s="17">
        <v>1974</v>
      </c>
      <c r="J2" s="17">
        <v>1975</v>
      </c>
      <c r="K2" s="17">
        <v>1976</v>
      </c>
      <c r="L2" s="17">
        <v>1977</v>
      </c>
      <c r="M2" s="17">
        <v>1978</v>
      </c>
      <c r="N2" s="17">
        <v>1979</v>
      </c>
      <c r="O2" s="17">
        <v>1980</v>
      </c>
      <c r="P2" s="17">
        <v>1981</v>
      </c>
      <c r="Q2" s="17">
        <v>1982</v>
      </c>
      <c r="R2" s="17">
        <v>1983</v>
      </c>
      <c r="S2" s="17">
        <v>1984</v>
      </c>
      <c r="T2" s="17">
        <v>1985</v>
      </c>
      <c r="U2" s="17">
        <v>1986</v>
      </c>
      <c r="V2" s="17">
        <v>1987</v>
      </c>
      <c r="W2" s="17">
        <v>1988</v>
      </c>
      <c r="X2" s="17">
        <v>1989</v>
      </c>
      <c r="Y2" s="17">
        <v>1990</v>
      </c>
      <c r="Z2" s="17">
        <v>1991</v>
      </c>
      <c r="AA2" s="17">
        <v>1992</v>
      </c>
      <c r="AB2" s="17">
        <v>1993</v>
      </c>
      <c r="AC2" s="17">
        <v>1994</v>
      </c>
      <c r="AD2" s="17">
        <v>1995</v>
      </c>
      <c r="AE2" s="17">
        <v>1996</v>
      </c>
      <c r="AF2" s="17">
        <v>1997</v>
      </c>
      <c r="AG2" s="17">
        <v>1998</v>
      </c>
      <c r="AH2" s="17">
        <v>1999</v>
      </c>
      <c r="AI2" s="17">
        <v>2000</v>
      </c>
      <c r="AJ2" s="17">
        <v>2001</v>
      </c>
      <c r="AK2" s="17">
        <v>2002</v>
      </c>
      <c r="AL2" s="17">
        <v>2003</v>
      </c>
      <c r="AM2" s="17">
        <v>2004</v>
      </c>
      <c r="AN2" s="17">
        <v>2005</v>
      </c>
      <c r="AO2" s="17">
        <v>2006</v>
      </c>
      <c r="AP2" s="17">
        <v>2007</v>
      </c>
      <c r="AQ2" s="17">
        <v>2008</v>
      </c>
      <c r="AR2" s="17">
        <v>2009</v>
      </c>
      <c r="AS2" s="17">
        <v>2010</v>
      </c>
    </row>
    <row r="3" spans="1:45" ht="12.75">
      <c r="A3" s="21" t="s">
        <v>22</v>
      </c>
      <c r="C3" s="21" t="s">
        <v>40</v>
      </c>
      <c r="E3" s="21" t="s">
        <v>187</v>
      </c>
      <c r="Y3" s="24">
        <v>1123.6</v>
      </c>
      <c r="Z3" s="24">
        <v>1138.2</v>
      </c>
      <c r="AA3" s="24">
        <v>1160.6</v>
      </c>
      <c r="AB3" s="24">
        <v>1159.6</v>
      </c>
      <c r="AC3" s="24">
        <v>1223.7</v>
      </c>
      <c r="AD3" s="24">
        <v>1261.2</v>
      </c>
      <c r="AE3" s="24">
        <v>1296.9</v>
      </c>
      <c r="AF3" s="24">
        <v>1338.4</v>
      </c>
      <c r="AG3" s="24">
        <v>1367.3</v>
      </c>
      <c r="AH3" s="24">
        <v>1402.3</v>
      </c>
      <c r="AI3" s="24">
        <v>1451.8</v>
      </c>
      <c r="AJ3" s="24">
        <v>1462.1</v>
      </c>
      <c r="AK3" s="24">
        <v>1468.9</v>
      </c>
      <c r="AL3" s="24">
        <v>1474.5</v>
      </c>
      <c r="AM3" s="24">
        <v>1508.4</v>
      </c>
      <c r="AN3" s="24">
        <v>1545.3</v>
      </c>
      <c r="AO3" s="24">
        <v>1597.7</v>
      </c>
      <c r="AP3" s="24">
        <v>1623</v>
      </c>
      <c r="AQ3" s="24">
        <v>1610.3</v>
      </c>
      <c r="AR3" s="24">
        <v>1516.3</v>
      </c>
      <c r="AS3" s="24">
        <v>1536</v>
      </c>
    </row>
    <row r="4" spans="1:45" ht="12.75">
      <c r="A4" s="21" t="s">
        <v>35</v>
      </c>
      <c r="C4" s="21" t="s">
        <v>40</v>
      </c>
      <c r="E4" s="21" t="s">
        <v>36</v>
      </c>
      <c r="F4" s="34">
        <v>0.182402298</v>
      </c>
      <c r="G4" s="34">
        <v>0.199910402</v>
      </c>
      <c r="H4" s="34">
        <v>0.222443104</v>
      </c>
      <c r="I4" s="34">
        <v>0.251482308</v>
      </c>
      <c r="J4" s="34">
        <v>0.284990102</v>
      </c>
      <c r="K4" s="34">
        <v>0.311729699</v>
      </c>
      <c r="L4" s="34">
        <v>0.339561105</v>
      </c>
      <c r="M4" s="34">
        <v>0.370170206</v>
      </c>
      <c r="N4" s="34">
        <v>0.396244913</v>
      </c>
      <c r="O4" s="34">
        <v>0.429416209</v>
      </c>
      <c r="P4" s="34">
        <v>0.474274695</v>
      </c>
      <c r="Q4" s="34">
        <v>0.5221735240000001</v>
      </c>
      <c r="R4" s="34">
        <v>0.560827613</v>
      </c>
      <c r="S4" s="34">
        <v>0.594384193</v>
      </c>
      <c r="T4" s="34">
        <v>0.619962811</v>
      </c>
      <c r="U4" s="34">
        <v>0.636490285</v>
      </c>
      <c r="V4" s="34">
        <v>0.667015374</v>
      </c>
      <c r="W4" s="34">
        <v>0.69324863</v>
      </c>
      <c r="X4" s="34">
        <v>0.727585077</v>
      </c>
      <c r="Y4" s="34">
        <v>0.74820441</v>
      </c>
      <c r="Z4" s="34">
        <v>0.768221676</v>
      </c>
      <c r="AA4" s="34">
        <v>0.781110406</v>
      </c>
      <c r="AB4" s="34">
        <v>0.786307275</v>
      </c>
      <c r="AC4" s="34">
        <v>0.798365116</v>
      </c>
      <c r="AD4" s="34">
        <v>0.8083992</v>
      </c>
      <c r="AE4" s="34">
        <v>0.824624777</v>
      </c>
      <c r="AF4" s="34">
        <v>0.841021597</v>
      </c>
      <c r="AG4" s="34">
        <v>0.851009011</v>
      </c>
      <c r="AH4" s="34">
        <v>0.865315795</v>
      </c>
      <c r="AI4" s="34">
        <v>0.891263485</v>
      </c>
      <c r="AJ4" s="34">
        <v>0.913510621</v>
      </c>
      <c r="AK4" s="34">
        <v>0.934549928</v>
      </c>
      <c r="AL4" s="34">
        <v>0.94993329</v>
      </c>
      <c r="AM4" s="34">
        <v>0.972026229</v>
      </c>
      <c r="AN4" s="34">
        <v>1</v>
      </c>
      <c r="AO4" s="34">
        <v>1.02124596</v>
      </c>
      <c r="AP4" s="34">
        <v>1.04451799</v>
      </c>
      <c r="AQ4" s="34">
        <v>1.08871996</v>
      </c>
      <c r="AR4" s="34">
        <v>1.09990501</v>
      </c>
      <c r="AS4" s="34">
        <v>1.14235401</v>
      </c>
    </row>
    <row r="5" spans="16:45" ht="12.75">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35" ht="12.75">
      <c r="V35" s="24"/>
    </row>
    <row r="36" ht="12.75">
      <c r="V36" s="24"/>
    </row>
    <row r="37" ht="12.75">
      <c r="V37" s="24"/>
    </row>
    <row r="38" ht="12.75">
      <c r="V38" s="24"/>
    </row>
    <row r="39" ht="12.75">
      <c r="V39" s="24"/>
    </row>
    <row r="40" ht="12.75">
      <c r="V40" s="24"/>
    </row>
  </sheetData>
  <hyperlinks>
    <hyperlink ref="A2" location="'Ægte opsparing'!A1" display="Retur til forsiden"/>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Z18"/>
  <sheetViews>
    <sheetView workbookViewId="0" topLeftCell="A1">
      <selection activeCell="A1" sqref="A1"/>
    </sheetView>
  </sheetViews>
  <sheetFormatPr defaultColWidth="9.140625" defaultRowHeight="12.75"/>
  <cols>
    <col min="1" max="1" width="9.140625" style="9" customWidth="1"/>
    <col min="2" max="2" width="16.8515625" style="9" customWidth="1"/>
    <col min="3" max="3" width="9.140625" style="9" customWidth="1"/>
    <col min="4" max="4" width="12.57421875" style="9" customWidth="1"/>
    <col min="5" max="5" width="16.57421875" style="9" customWidth="1"/>
    <col min="6" max="6" width="9.140625" style="9" customWidth="1"/>
    <col min="7" max="7" width="11.00390625" style="9" bestFit="1" customWidth="1"/>
    <col min="8" max="16384" width="9.140625" style="9" customWidth="1"/>
  </cols>
  <sheetData>
    <row r="1" s="15" customFormat="1" ht="37.5" customHeight="1">
      <c r="A1" s="15" t="s">
        <v>288</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5" ht="12.75">
      <c r="A3" s="9" t="s">
        <v>21</v>
      </c>
      <c r="E3" s="9" t="s">
        <v>25</v>
      </c>
      <c r="F3" s="8">
        <f>F18</f>
        <v>71.80632934824463</v>
      </c>
      <c r="G3" s="8">
        <f aca="true" t="shared" si="1" ref="G3:Y3">G18</f>
        <v>72.49193549247654</v>
      </c>
      <c r="H3" s="8">
        <f t="shared" si="1"/>
        <v>71.9626492402483</v>
      </c>
      <c r="I3" s="8">
        <f t="shared" si="1"/>
        <v>71.88181320147851</v>
      </c>
      <c r="J3" s="8">
        <f t="shared" si="1"/>
        <v>72.76310671158318</v>
      </c>
      <c r="K3" s="8">
        <f t="shared" si="1"/>
        <v>73.85639486805003</v>
      </c>
      <c r="L3" s="8">
        <f t="shared" si="1"/>
        <v>74.89048541729277</v>
      </c>
      <c r="M3" s="8">
        <f t="shared" si="1"/>
        <v>75.80227136286503</v>
      </c>
      <c r="N3" s="8">
        <f t="shared" si="1"/>
        <v>75.58885495466889</v>
      </c>
      <c r="O3" s="8">
        <f t="shared" si="1"/>
        <v>75.13898297937645</v>
      </c>
      <c r="P3" s="8">
        <f t="shared" si="1"/>
        <v>76.48291185791777</v>
      </c>
      <c r="Q3" s="8">
        <f t="shared" si="1"/>
        <v>78.31116598864631</v>
      </c>
      <c r="R3" s="8">
        <f t="shared" si="1"/>
        <v>79.31590245466025</v>
      </c>
      <c r="S3" s="8">
        <f t="shared" si="1"/>
        <v>83.1825666465635</v>
      </c>
      <c r="T3" s="8">
        <f t="shared" si="1"/>
        <v>86.79646799088106</v>
      </c>
      <c r="U3" s="8">
        <f t="shared" si="1"/>
        <v>89.74992447537804</v>
      </c>
      <c r="V3" s="8">
        <f t="shared" si="1"/>
        <v>92.24072367026429</v>
      </c>
      <c r="W3" s="8">
        <f t="shared" si="1"/>
        <v>94.15261440777691</v>
      </c>
      <c r="X3" s="8">
        <f t="shared" si="1"/>
        <v>96.17050246847064</v>
      </c>
      <c r="Y3" s="8">
        <f t="shared" si="1"/>
        <v>95.51674905772133</v>
      </c>
    </row>
    <row r="4" spans="1:25" ht="12.75">
      <c r="A4" s="9" t="s">
        <v>21</v>
      </c>
      <c r="E4" s="9" t="s">
        <v>105</v>
      </c>
      <c r="F4" s="8">
        <f>F3/BNP!Y3*100</f>
        <v>6.390737749042777</v>
      </c>
      <c r="G4" s="8">
        <f>G3/BNP!Z3*100</f>
        <v>6.368998022533521</v>
      </c>
      <c r="H4" s="8">
        <f>H3/BNP!AA3*100</f>
        <v>6.200469519235593</v>
      </c>
      <c r="I4" s="8">
        <f>I3/BNP!AB3*100</f>
        <v>6.1988455675645495</v>
      </c>
      <c r="J4" s="8">
        <f>J3/BNP!AC3*100</f>
        <v>5.946155651841397</v>
      </c>
      <c r="K4" s="8">
        <f>K3/BNP!AD3*100</f>
        <v>5.856041457980497</v>
      </c>
      <c r="L4" s="8">
        <f>L3/BNP!AE3*100</f>
        <v>5.7745767150352965</v>
      </c>
      <c r="M4" s="8">
        <f>M3/BNP!AF3*100</f>
        <v>5.663648487960627</v>
      </c>
      <c r="N4" s="8">
        <f>N3/BNP!AG3*100</f>
        <v>5.528329916965472</v>
      </c>
      <c r="O4" s="8">
        <f>O3/BNP!AH3*100</f>
        <v>5.35826734503148</v>
      </c>
      <c r="P4" s="8">
        <f>P3/BNP!AI3*100</f>
        <v>5.268143811676386</v>
      </c>
      <c r="Q4" s="8">
        <f>Q3/BNP!AJ3*100</f>
        <v>5.356074549527825</v>
      </c>
      <c r="R4" s="8">
        <f>R3/BNP!AK3*100</f>
        <v>5.399680199786252</v>
      </c>
      <c r="S4" s="8">
        <f>S3/BNP!AL3*100</f>
        <v>5.641408385660461</v>
      </c>
      <c r="T4" s="8">
        <f>T3/BNP!AM3*100</f>
        <v>5.754207636626959</v>
      </c>
      <c r="U4" s="8">
        <f>U3/BNP!AN3*100</f>
        <v>5.807928847173885</v>
      </c>
      <c r="V4" s="8">
        <f>V3/BNP!AO3*100</f>
        <v>5.773344411983745</v>
      </c>
      <c r="W4" s="8">
        <f>W3/BNP!AP3*100</f>
        <v>5.801146913603014</v>
      </c>
      <c r="X4" s="8">
        <f>X3/BNP!AQ3*100</f>
        <v>5.972210300470139</v>
      </c>
      <c r="Y4" s="8">
        <f>Y3/BNP!AR3*100</f>
        <v>6.299330545256303</v>
      </c>
    </row>
    <row r="6" ht="12.75">
      <c r="D6" s="13" t="s">
        <v>167</v>
      </c>
    </row>
    <row r="7" spans="1:26" ht="12.75">
      <c r="A7" s="9" t="s">
        <v>139</v>
      </c>
      <c r="C7" s="9" t="s">
        <v>146</v>
      </c>
      <c r="E7" s="9" t="s">
        <v>143</v>
      </c>
      <c r="F7" s="14">
        <v>22555717</v>
      </c>
      <c r="G7" s="14">
        <v>22878413</v>
      </c>
      <c r="H7" s="14">
        <v>22654726</v>
      </c>
      <c r="I7" s="14">
        <v>22632724</v>
      </c>
      <c r="J7" s="14">
        <v>23043428</v>
      </c>
      <c r="K7" s="14">
        <v>23549474</v>
      </c>
      <c r="L7" s="14">
        <v>24018850</v>
      </c>
      <c r="M7" s="14">
        <v>24433220.999999996</v>
      </c>
      <c r="N7" s="14">
        <v>24341546</v>
      </c>
      <c r="O7" s="14">
        <v>24143528</v>
      </c>
      <c r="P7" s="14">
        <v>24752250</v>
      </c>
      <c r="Q7" s="14">
        <v>25360971.999999996</v>
      </c>
      <c r="R7" s="14">
        <v>25599326.999999996</v>
      </c>
      <c r="S7" s="14">
        <v>27124799</v>
      </c>
      <c r="T7" s="14">
        <v>28536593.999999996</v>
      </c>
      <c r="U7" s="14">
        <v>29651361.999999996</v>
      </c>
      <c r="V7" s="14">
        <v>30619449.999999996</v>
      </c>
      <c r="W7" s="14">
        <v>31327180.999999996</v>
      </c>
      <c r="X7" s="14">
        <v>32082583</v>
      </c>
      <c r="Y7" s="14">
        <v>31636446.91617894</v>
      </c>
      <c r="Z7" s="14">
        <v>33515777.935259603</v>
      </c>
    </row>
    <row r="8" spans="1:26" ht="12.75">
      <c r="A8" s="9" t="s">
        <v>140</v>
      </c>
      <c r="C8" s="9" t="s">
        <v>145</v>
      </c>
      <c r="D8" s="9" t="s">
        <v>149</v>
      </c>
      <c r="E8" s="9" t="s">
        <v>144</v>
      </c>
      <c r="F8" s="14">
        <v>6716508.700000001</v>
      </c>
      <c r="G8" s="36">
        <v>6689291.6000000015</v>
      </c>
      <c r="H8" s="36">
        <v>6662074.500000002</v>
      </c>
      <c r="I8" s="36">
        <v>6634857.4</v>
      </c>
      <c r="J8" s="36">
        <v>6607640.300000002</v>
      </c>
      <c r="K8" s="14">
        <v>6580423.200000001</v>
      </c>
      <c r="L8" s="36">
        <v>6557950.220000002</v>
      </c>
      <c r="M8" s="36">
        <v>6535477.240000001</v>
      </c>
      <c r="N8" s="36">
        <v>6513004.260000002</v>
      </c>
      <c r="O8" s="36">
        <v>6490531.280000002</v>
      </c>
      <c r="P8" s="14">
        <v>6468058.300000002</v>
      </c>
      <c r="Q8" s="36">
        <v>6601616.560000002</v>
      </c>
      <c r="R8" s="36">
        <v>6735174.820000002</v>
      </c>
      <c r="S8" s="36">
        <v>6868733.080000002</v>
      </c>
      <c r="T8" s="36">
        <v>7002291.340000002</v>
      </c>
      <c r="U8" s="14">
        <v>7135849.6000000015</v>
      </c>
      <c r="V8" s="36">
        <v>7237178.664320001</v>
      </c>
      <c r="W8" s="36">
        <v>7338507.728640001</v>
      </c>
      <c r="X8" s="36">
        <v>7439836.792960001</v>
      </c>
      <c r="Y8" s="36">
        <v>7541165.857280001</v>
      </c>
      <c r="Z8" s="14">
        <v>7642494.921600001</v>
      </c>
    </row>
    <row r="9" spans="1:26" ht="12.75">
      <c r="A9" s="9" t="s">
        <v>141</v>
      </c>
      <c r="C9" s="9" t="s">
        <v>147</v>
      </c>
      <c r="D9" s="9" t="s">
        <v>149</v>
      </c>
      <c r="E9" s="9" t="s">
        <v>144</v>
      </c>
      <c r="F9" s="14">
        <v>2696213.2</v>
      </c>
      <c r="G9" s="36">
        <v>2695514.62</v>
      </c>
      <c r="H9" s="36">
        <v>2694816.04</v>
      </c>
      <c r="I9" s="36">
        <v>2694117.46</v>
      </c>
      <c r="J9" s="36">
        <v>2693418.88</v>
      </c>
      <c r="K9" s="14">
        <v>2692720.3</v>
      </c>
      <c r="L9" s="36">
        <v>2685703.88</v>
      </c>
      <c r="M9" s="36">
        <v>2678687.46</v>
      </c>
      <c r="N9" s="36">
        <v>2671671.04</v>
      </c>
      <c r="O9" s="36">
        <v>2664654.62</v>
      </c>
      <c r="P9" s="14">
        <v>2657638.2</v>
      </c>
      <c r="Q9" s="36">
        <v>2696617.94</v>
      </c>
      <c r="R9" s="36">
        <v>2735597.68</v>
      </c>
      <c r="S9" s="36">
        <v>2774577.42</v>
      </c>
      <c r="T9" s="36">
        <v>2813557.16</v>
      </c>
      <c r="U9" s="14">
        <v>2852536.9</v>
      </c>
      <c r="V9" s="36">
        <v>2893042.92398</v>
      </c>
      <c r="W9" s="36">
        <v>2933548.9479599996</v>
      </c>
      <c r="X9" s="36">
        <v>2974054.9719399996</v>
      </c>
      <c r="Y9" s="36">
        <v>3014560.9959199997</v>
      </c>
      <c r="Z9" s="14">
        <v>3055067.0198999997</v>
      </c>
    </row>
    <row r="10" spans="1:26" ht="12.75">
      <c r="A10" s="9" t="s">
        <v>142</v>
      </c>
      <c r="C10" s="9" t="s">
        <v>148</v>
      </c>
      <c r="D10" s="9" t="s">
        <v>149</v>
      </c>
      <c r="E10" s="9" t="s">
        <v>144</v>
      </c>
      <c r="F10" s="14">
        <v>325579.7</v>
      </c>
      <c r="G10" s="36">
        <v>339142.36</v>
      </c>
      <c r="H10" s="36">
        <v>352705.02</v>
      </c>
      <c r="I10" s="36">
        <v>366267.68</v>
      </c>
      <c r="J10" s="36">
        <v>379830.34</v>
      </c>
      <c r="K10" s="14">
        <v>393393</v>
      </c>
      <c r="L10" s="36">
        <v>418575.98</v>
      </c>
      <c r="M10" s="36">
        <v>443758.96</v>
      </c>
      <c r="N10" s="36">
        <v>468941.94</v>
      </c>
      <c r="O10" s="36">
        <v>494124.92</v>
      </c>
      <c r="P10" s="14">
        <v>519307.9</v>
      </c>
      <c r="Q10" s="36">
        <v>560282.84</v>
      </c>
      <c r="R10" s="36">
        <v>601257.78</v>
      </c>
      <c r="S10" s="36">
        <v>642232.72</v>
      </c>
      <c r="T10" s="36">
        <v>683207.66</v>
      </c>
      <c r="U10" s="14">
        <v>724182.6</v>
      </c>
      <c r="V10" s="36">
        <v>734465.99292</v>
      </c>
      <c r="W10" s="36">
        <v>744749.38584</v>
      </c>
      <c r="X10" s="36">
        <v>755032.7787599999</v>
      </c>
      <c r="Y10" s="36">
        <v>765316.17168</v>
      </c>
      <c r="Z10" s="14">
        <v>775599.5645999999</v>
      </c>
    </row>
    <row r="12" spans="1:26" ht="12.75">
      <c r="A12" s="9" t="s">
        <v>150</v>
      </c>
      <c r="E12" s="9" t="s">
        <v>144</v>
      </c>
      <c r="F12" s="14">
        <f>SUM(F7:F11)</f>
        <v>32294018.6</v>
      </c>
      <c r="G12" s="14">
        <f aca="true" t="shared" si="2" ref="G12:Z12">SUM(G7:G11)</f>
        <v>32602361.580000002</v>
      </c>
      <c r="H12" s="14">
        <f t="shared" si="2"/>
        <v>32364321.56</v>
      </c>
      <c r="I12" s="14">
        <f t="shared" si="2"/>
        <v>32327966.54</v>
      </c>
      <c r="J12" s="14">
        <f t="shared" si="2"/>
        <v>32724317.52</v>
      </c>
      <c r="K12" s="14">
        <f t="shared" si="2"/>
        <v>33216010.500000004</v>
      </c>
      <c r="L12" s="14">
        <f t="shared" si="2"/>
        <v>33681080.08</v>
      </c>
      <c r="M12" s="14">
        <f t="shared" si="2"/>
        <v>34091144.66</v>
      </c>
      <c r="N12" s="14">
        <f t="shared" si="2"/>
        <v>33995163.24</v>
      </c>
      <c r="O12" s="14">
        <f t="shared" si="2"/>
        <v>33792838.82</v>
      </c>
      <c r="P12" s="14">
        <f t="shared" si="2"/>
        <v>34397254.4</v>
      </c>
      <c r="Q12" s="14">
        <f t="shared" si="2"/>
        <v>35219489.34</v>
      </c>
      <c r="R12" s="14">
        <f t="shared" si="2"/>
        <v>35671357.28</v>
      </c>
      <c r="S12" s="14">
        <f t="shared" si="2"/>
        <v>37410342.22</v>
      </c>
      <c r="T12" s="14">
        <f t="shared" si="2"/>
        <v>39035650.16</v>
      </c>
      <c r="U12" s="14">
        <f t="shared" si="2"/>
        <v>40363931.099999994</v>
      </c>
      <c r="V12" s="14">
        <f t="shared" si="2"/>
        <v>41484137.58121999</v>
      </c>
      <c r="W12" s="14">
        <f t="shared" si="2"/>
        <v>42343987.06243999</v>
      </c>
      <c r="X12" s="14">
        <f t="shared" si="2"/>
        <v>43251507.54366</v>
      </c>
      <c r="Y12" s="14">
        <f t="shared" si="2"/>
        <v>42957489.94105895</v>
      </c>
      <c r="Z12" s="14">
        <f t="shared" si="2"/>
        <v>44988939.4413596</v>
      </c>
    </row>
    <row r="13" spans="1:26" ht="12.75">
      <c r="A13" s="9" t="s">
        <v>152</v>
      </c>
      <c r="C13" s="9" t="s">
        <v>154</v>
      </c>
      <c r="D13" s="9" t="s">
        <v>155</v>
      </c>
      <c r="E13" s="9" t="s">
        <v>153</v>
      </c>
      <c r="F13" s="14"/>
      <c r="G13" s="14"/>
      <c r="H13" s="14"/>
      <c r="I13" s="14"/>
      <c r="J13" s="14"/>
      <c r="K13" s="14"/>
      <c r="L13" s="14"/>
      <c r="M13" s="14"/>
      <c r="N13" s="14"/>
      <c r="O13" s="14"/>
      <c r="P13" s="14"/>
      <c r="Q13" s="14"/>
      <c r="R13" s="14"/>
      <c r="S13" s="14"/>
      <c r="T13" s="14"/>
      <c r="U13" s="30">
        <v>42.06956270836999</v>
      </c>
      <c r="V13" s="14"/>
      <c r="W13" s="14"/>
      <c r="X13" s="14"/>
      <c r="Y13" s="14"/>
      <c r="Z13" s="14"/>
    </row>
    <row r="14" spans="1:26" ht="12.75">
      <c r="A14" s="9" t="s">
        <v>151</v>
      </c>
      <c r="E14" s="9" t="s">
        <v>156</v>
      </c>
      <c r="F14" s="14">
        <f>F12*$U13/1000000</f>
        <v>1358.595240597967</v>
      </c>
      <c r="G14" s="14">
        <f>G12*$U13/1000000</f>
        <v>1371.5670949307628</v>
      </c>
      <c r="H14" s="14">
        <f aca="true" t="shared" si="3" ref="H14:Z14">H12*$U13/1000000</f>
        <v>1361.5528553822708</v>
      </c>
      <c r="I14" s="14">
        <f t="shared" si="3"/>
        <v>1360.023415588617</v>
      </c>
      <c r="J14" s="14">
        <f t="shared" si="3"/>
        <v>1376.697727996251</v>
      </c>
      <c r="K14" s="14">
        <f t="shared" si="3"/>
        <v>1397.3830366516263</v>
      </c>
      <c r="L14" s="14">
        <f t="shared" si="3"/>
        <v>1416.9483105111913</v>
      </c>
      <c r="M14" s="14">
        <f t="shared" si="3"/>
        <v>1434.1995480739827</v>
      </c>
      <c r="N14" s="14">
        <f t="shared" si="3"/>
        <v>1430.1616517064544</v>
      </c>
      <c r="O14" s="14">
        <f t="shared" si="3"/>
        <v>1421.6499518318299</v>
      </c>
      <c r="P14" s="14">
        <f t="shared" si="3"/>
        <v>1447.0774509765556</v>
      </c>
      <c r="Q14" s="14">
        <f t="shared" si="3"/>
        <v>1481.6685153458986</v>
      </c>
      <c r="R14" s="14">
        <f t="shared" si="3"/>
        <v>1500.6784019836305</v>
      </c>
      <c r="S14" s="14">
        <f t="shared" si="3"/>
        <v>1573.8367379658716</v>
      </c>
      <c r="T14" s="14">
        <f t="shared" si="3"/>
        <v>1642.2127322681129</v>
      </c>
      <c r="U14" s="14">
        <f t="shared" si="3"/>
        <v>1698.0929305677755</v>
      </c>
      <c r="V14" s="14">
        <f t="shared" si="3"/>
        <v>1745.2195273757827</v>
      </c>
      <c r="W14" s="14">
        <f t="shared" si="3"/>
        <v>1781.393019045727</v>
      </c>
      <c r="X14" s="14">
        <f t="shared" si="3"/>
        <v>1819.5720088395421</v>
      </c>
      <c r="Y14" s="14">
        <f t="shared" si="3"/>
        <v>1807.2028168695526</v>
      </c>
      <c r="Z14" s="14">
        <f t="shared" si="3"/>
        <v>1892.6650090113378</v>
      </c>
    </row>
    <row r="15" spans="1:21" ht="12.75">
      <c r="A15" s="9" t="s">
        <v>158</v>
      </c>
      <c r="C15" s="9" t="s">
        <v>159</v>
      </c>
      <c r="D15" s="9" t="s">
        <v>160</v>
      </c>
      <c r="U15" s="40">
        <v>0.005643561870147837</v>
      </c>
    </row>
    <row r="16" spans="1:22" ht="12.75">
      <c r="A16" s="9" t="s">
        <v>164</v>
      </c>
      <c r="C16" s="9" t="s">
        <v>161</v>
      </c>
      <c r="D16" s="9" t="s">
        <v>165</v>
      </c>
      <c r="T16" s="37"/>
      <c r="U16" s="37">
        <v>1.56</v>
      </c>
      <c r="V16" s="37"/>
    </row>
    <row r="17" spans="1:22" ht="12.75">
      <c r="A17" s="9" t="s">
        <v>162</v>
      </c>
      <c r="D17" s="9" t="s">
        <v>166</v>
      </c>
      <c r="E17" s="9" t="s">
        <v>163</v>
      </c>
      <c r="T17" s="37"/>
      <c r="U17" s="38">
        <v>6.003365</v>
      </c>
      <c r="V17" s="37"/>
    </row>
    <row r="18" spans="1:26" ht="12.75">
      <c r="A18" s="9" t="s">
        <v>157</v>
      </c>
      <c r="E18" s="9" t="s">
        <v>25</v>
      </c>
      <c r="F18" s="8">
        <f>F14*$U15*$U16*$U17</f>
        <v>71.80632934824463</v>
      </c>
      <c r="G18" s="8">
        <f aca="true" t="shared" si="4" ref="G18:Z18">G14*$U15*$U16*$U17</f>
        <v>72.49193549247654</v>
      </c>
      <c r="H18" s="8">
        <f t="shared" si="4"/>
        <v>71.9626492402483</v>
      </c>
      <c r="I18" s="8">
        <f t="shared" si="4"/>
        <v>71.88181320147851</v>
      </c>
      <c r="J18" s="8">
        <f t="shared" si="4"/>
        <v>72.76310671158318</v>
      </c>
      <c r="K18" s="8">
        <f t="shared" si="4"/>
        <v>73.85639486805003</v>
      </c>
      <c r="L18" s="8">
        <f t="shared" si="4"/>
        <v>74.89048541729277</v>
      </c>
      <c r="M18" s="8">
        <f t="shared" si="4"/>
        <v>75.80227136286503</v>
      </c>
      <c r="N18" s="8">
        <f t="shared" si="4"/>
        <v>75.58885495466889</v>
      </c>
      <c r="O18" s="8">
        <f t="shared" si="4"/>
        <v>75.13898297937645</v>
      </c>
      <c r="P18" s="8">
        <f t="shared" si="4"/>
        <v>76.48291185791777</v>
      </c>
      <c r="Q18" s="8">
        <f t="shared" si="4"/>
        <v>78.31116598864631</v>
      </c>
      <c r="R18" s="8">
        <f t="shared" si="4"/>
        <v>79.31590245466025</v>
      </c>
      <c r="S18" s="8">
        <f t="shared" si="4"/>
        <v>83.1825666465635</v>
      </c>
      <c r="T18" s="39">
        <f t="shared" si="4"/>
        <v>86.79646799088106</v>
      </c>
      <c r="U18" s="39">
        <f t="shared" si="4"/>
        <v>89.74992447537804</v>
      </c>
      <c r="V18" s="39">
        <f t="shared" si="4"/>
        <v>92.24072367026429</v>
      </c>
      <c r="W18" s="8">
        <f t="shared" si="4"/>
        <v>94.15261440777691</v>
      </c>
      <c r="X18" s="8">
        <f t="shared" si="4"/>
        <v>96.17050246847064</v>
      </c>
      <c r="Y18" s="8">
        <f t="shared" si="4"/>
        <v>95.51674905772133</v>
      </c>
      <c r="Z18" s="8">
        <f t="shared" si="4"/>
        <v>100.03371344297487</v>
      </c>
    </row>
  </sheetData>
  <hyperlinks>
    <hyperlink ref="A2" location="'Ægte opsparing'!A1" display="Retur til forsiden"/>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21"/>
  <sheetViews>
    <sheetView workbookViewId="0" topLeftCell="A1">
      <selection activeCell="G11" sqref="G11"/>
    </sheetView>
  </sheetViews>
  <sheetFormatPr defaultColWidth="9.140625" defaultRowHeight="12.75"/>
  <cols>
    <col min="1" max="1" width="11.421875" style="9" customWidth="1"/>
    <col min="2" max="3" width="9.140625" style="9" customWidth="1"/>
    <col min="4" max="4" width="10.8515625" style="9" customWidth="1"/>
    <col min="5" max="5" width="17.00390625" style="9" customWidth="1"/>
    <col min="6" max="16384" width="9.140625" style="9" customWidth="1"/>
  </cols>
  <sheetData>
    <row r="1" s="15" customFormat="1" ht="37.5" customHeight="1">
      <c r="A1" s="15" t="s">
        <v>272</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5" ht="12.75">
      <c r="A3" s="9" t="s">
        <v>21</v>
      </c>
      <c r="D3" s="9" t="s">
        <v>178</v>
      </c>
      <c r="E3" s="9" t="s">
        <v>25</v>
      </c>
      <c r="F3" s="8">
        <f aca="true" t="shared" si="1" ref="F3:Y3">-F11-F16-F21</f>
        <v>-29.355182706698812</v>
      </c>
      <c r="G3" s="8">
        <f t="shared" si="1"/>
        <v>-27.761926795355773</v>
      </c>
      <c r="H3" s="8">
        <f t="shared" si="1"/>
        <v>-25.815554599840993</v>
      </c>
      <c r="I3" s="8">
        <f t="shared" si="1"/>
        <v>-24.294570697198296</v>
      </c>
      <c r="J3" s="8">
        <f t="shared" si="1"/>
        <v>-22.9045486318652</v>
      </c>
      <c r="K3" s="8">
        <f t="shared" si="1"/>
        <v>-21.23289032386875</v>
      </c>
      <c r="L3" s="8">
        <f t="shared" si="1"/>
        <v>-20.757993007289233</v>
      </c>
      <c r="M3" s="8">
        <f t="shared" si="1"/>
        <v>-19.142045304659376</v>
      </c>
      <c r="N3" s="8">
        <f t="shared" si="1"/>
        <v>-21.60688864476834</v>
      </c>
      <c r="O3" s="8">
        <f t="shared" si="1"/>
        <v>-19.881489731502654</v>
      </c>
      <c r="P3" s="8">
        <f t="shared" si="1"/>
        <v>-20.41625449111452</v>
      </c>
      <c r="Q3" s="8">
        <f t="shared" si="1"/>
        <v>-18.98541308209882</v>
      </c>
      <c r="R3" s="8">
        <f t="shared" si="1"/>
        <v>-17.438976867925483</v>
      </c>
      <c r="S3" s="8">
        <f t="shared" si="1"/>
        <v>-16.467148599218113</v>
      </c>
      <c r="T3" s="8">
        <f t="shared" si="1"/>
        <v>-16.373910304336018</v>
      </c>
      <c r="U3" s="8">
        <f t="shared" si="1"/>
        <v>-15.428914615030948</v>
      </c>
      <c r="V3" s="8">
        <f t="shared" si="1"/>
        <v>-16.81194188710125</v>
      </c>
      <c r="W3" s="8">
        <f t="shared" si="1"/>
        <v>-15.787273290097824</v>
      </c>
      <c r="X3" s="8">
        <f t="shared" si="1"/>
        <v>-14.85999193484658</v>
      </c>
      <c r="Y3" s="8">
        <f t="shared" si="1"/>
        <v>-15.701742017698578</v>
      </c>
    </row>
    <row r="4" spans="1:25" ht="12.75">
      <c r="A4" s="9" t="s">
        <v>21</v>
      </c>
      <c r="E4" s="9" t="s">
        <v>105</v>
      </c>
      <c r="F4" s="8">
        <f>F3/BNP!Y3*100</f>
        <v>-2.612600810492953</v>
      </c>
      <c r="G4" s="8">
        <f>G3/BNP!Z3*100</f>
        <v>-2.4391079595287097</v>
      </c>
      <c r="H4" s="8">
        <f>H3/BNP!AA3*100</f>
        <v>-2.224328330160348</v>
      </c>
      <c r="I4" s="8">
        <f>I3/BNP!AB3*100</f>
        <v>-2.09508198492569</v>
      </c>
      <c r="J4" s="8">
        <f>J3/BNP!AC3*100</f>
        <v>-1.8717454140610608</v>
      </c>
      <c r="K4" s="8">
        <f>K3/BNP!AD3*100</f>
        <v>-1.6835466479439225</v>
      </c>
      <c r="L4" s="8">
        <f>L3/BNP!AE3*100</f>
        <v>-1.6005854736131722</v>
      </c>
      <c r="M4" s="8">
        <f>M3/BNP!AF3*100</f>
        <v>-1.4302185672937369</v>
      </c>
      <c r="N4" s="8">
        <f>N3/BNP!AG3*100</f>
        <v>-1.580259536661182</v>
      </c>
      <c r="O4" s="8">
        <f>O3/BNP!AH3*100</f>
        <v>-1.4177772039864975</v>
      </c>
      <c r="P4" s="8">
        <f>P3/BNP!AI3*100</f>
        <v>-1.4062718343514615</v>
      </c>
      <c r="Q4" s="8">
        <f>Q3/BNP!AJ3*100</f>
        <v>-1.2985030491826017</v>
      </c>
      <c r="R4" s="8">
        <f>R3/BNP!AK3*100</f>
        <v>-1.1872133479423705</v>
      </c>
      <c r="S4" s="8">
        <f>S3/BNP!AL3*100</f>
        <v>-1.1167954289059419</v>
      </c>
      <c r="T4" s="8">
        <f>T3/BNP!AM3*100</f>
        <v>-1.0855151355300992</v>
      </c>
      <c r="U4" s="8">
        <f>U3/BNP!AN3*100</f>
        <v>-0.9984413780515724</v>
      </c>
      <c r="V4" s="8">
        <f>V3/BNP!AO3*100</f>
        <v>-1.0522589902423014</v>
      </c>
      <c r="W4" s="8">
        <f>W3/BNP!AP3*100</f>
        <v>-0.9727217061058425</v>
      </c>
      <c r="X4" s="8">
        <f>X3/BNP!AQ3*100</f>
        <v>-0.9228089135469528</v>
      </c>
      <c r="Y4" s="8">
        <f>Y3/BNP!AR3*100</f>
        <v>-1.0355300413967274</v>
      </c>
    </row>
    <row r="6" ht="12.75">
      <c r="A6" s="9" t="s">
        <v>179</v>
      </c>
    </row>
    <row r="8" ht="12.75">
      <c r="A8" s="9" t="s">
        <v>168</v>
      </c>
    </row>
    <row r="9" spans="1:26" ht="12.75">
      <c r="A9" s="9" t="s">
        <v>169</v>
      </c>
      <c r="C9" s="9" t="s">
        <v>180</v>
      </c>
      <c r="D9" s="13" t="s">
        <v>170</v>
      </c>
      <c r="E9" s="9" t="s">
        <v>171</v>
      </c>
      <c r="F9" s="36">
        <v>137533.76680031948</v>
      </c>
      <c r="G9" s="36">
        <v>127557.64975572504</v>
      </c>
      <c r="H9" s="36">
        <v>113165.64617426881</v>
      </c>
      <c r="I9" s="36">
        <v>102763.57229081522</v>
      </c>
      <c r="J9" s="36">
        <v>93749.33767854702</v>
      </c>
      <c r="K9" s="36">
        <v>82460.46767670182</v>
      </c>
      <c r="L9" s="36">
        <v>79898.37641999254</v>
      </c>
      <c r="M9" s="14">
        <v>67200</v>
      </c>
      <c r="N9" s="14">
        <v>69800</v>
      </c>
      <c r="O9" s="14">
        <v>58600</v>
      </c>
      <c r="P9" s="14">
        <v>55800</v>
      </c>
      <c r="Q9" s="14">
        <v>54200</v>
      </c>
      <c r="R9" s="14">
        <v>52600</v>
      </c>
      <c r="S9" s="14">
        <v>47600</v>
      </c>
      <c r="T9" s="14">
        <v>46800</v>
      </c>
      <c r="U9" s="14">
        <v>43800</v>
      </c>
      <c r="V9" s="14">
        <v>44800</v>
      </c>
      <c r="W9" s="14">
        <v>41800</v>
      </c>
      <c r="X9" s="14">
        <v>37400</v>
      </c>
      <c r="Y9" s="14">
        <v>36600</v>
      </c>
      <c r="Z9" s="14">
        <v>33000</v>
      </c>
    </row>
    <row r="10" spans="1:21" ht="12.75">
      <c r="A10" s="9" t="s">
        <v>182</v>
      </c>
      <c r="C10" s="9" t="s">
        <v>181</v>
      </c>
      <c r="D10" s="9" t="s">
        <v>172</v>
      </c>
      <c r="E10" s="9" t="s">
        <v>173</v>
      </c>
      <c r="U10" s="9">
        <v>109.99010229485812</v>
      </c>
    </row>
    <row r="11" spans="1:26" ht="12.75">
      <c r="A11" s="9" t="s">
        <v>174</v>
      </c>
      <c r="E11" s="9" t="s">
        <v>25</v>
      </c>
      <c r="F11" s="8">
        <f>F9*$U10/1000000</f>
        <v>15.127353079364301</v>
      </c>
      <c r="G11" s="8">
        <f aca="true" t="shared" si="2" ref="G11:Z11">G9*$U10/1000000</f>
        <v>14.030078945123881</v>
      </c>
      <c r="H11" s="8">
        <f t="shared" si="2"/>
        <v>12.447100998971546</v>
      </c>
      <c r="I11" s="8">
        <f t="shared" si="2"/>
        <v>11.302975828451814</v>
      </c>
      <c r="J11" s="8">
        <f t="shared" si="2"/>
        <v>10.311499241338582</v>
      </c>
      <c r="K11" s="8">
        <f t="shared" si="2"/>
        <v>9.069835275042275</v>
      </c>
      <c r="L11" s="8">
        <f t="shared" si="2"/>
        <v>8.788030595628058</v>
      </c>
      <c r="M11" s="8">
        <f t="shared" si="2"/>
        <v>7.391334874214466</v>
      </c>
      <c r="N11" s="8">
        <f t="shared" si="2"/>
        <v>7.677309140181096</v>
      </c>
      <c r="O11" s="8">
        <f t="shared" si="2"/>
        <v>6.445419994478685</v>
      </c>
      <c r="P11" s="8">
        <f t="shared" si="2"/>
        <v>6.137447708053084</v>
      </c>
      <c r="Q11" s="8">
        <f t="shared" si="2"/>
        <v>5.96146354438131</v>
      </c>
      <c r="R11" s="8">
        <f t="shared" si="2"/>
        <v>5.785479380709537</v>
      </c>
      <c r="S11" s="8">
        <f t="shared" si="2"/>
        <v>5.235528869235247</v>
      </c>
      <c r="T11" s="8">
        <f t="shared" si="2"/>
        <v>5.14753678739936</v>
      </c>
      <c r="U11" s="8">
        <f t="shared" si="2"/>
        <v>4.8175664805147855</v>
      </c>
      <c r="V11" s="8">
        <f t="shared" si="2"/>
        <v>4.927556582809644</v>
      </c>
      <c r="W11" s="8">
        <f t="shared" si="2"/>
        <v>4.597586275925069</v>
      </c>
      <c r="X11" s="8">
        <f t="shared" si="2"/>
        <v>4.113629825827694</v>
      </c>
      <c r="Y11" s="8">
        <f t="shared" si="2"/>
        <v>4.025637743991807</v>
      </c>
      <c r="Z11" s="8">
        <f t="shared" si="2"/>
        <v>3.629673375730318</v>
      </c>
    </row>
    <row r="13" ht="12.75">
      <c r="A13" s="9" t="s">
        <v>175</v>
      </c>
    </row>
    <row r="14" spans="1:26" ht="12.75">
      <c r="A14" s="9" t="s">
        <v>169</v>
      </c>
      <c r="C14" s="9" t="s">
        <v>180</v>
      </c>
      <c r="D14" s="13" t="s">
        <v>170</v>
      </c>
      <c r="E14" s="9" t="s">
        <v>171</v>
      </c>
      <c r="F14" s="36">
        <v>87757.09708965823</v>
      </c>
      <c r="G14" s="36">
        <v>86036.69789143716</v>
      </c>
      <c r="H14" s="36">
        <v>83168.19563179792</v>
      </c>
      <c r="I14" s="36">
        <v>80104.72403343953</v>
      </c>
      <c r="J14" s="36">
        <v>77782.01045583193</v>
      </c>
      <c r="K14" s="36">
        <v>75804.03778470159</v>
      </c>
      <c r="L14" s="36">
        <v>75321.18047385692</v>
      </c>
      <c r="M14" s="14">
        <v>72775.7174573332</v>
      </c>
      <c r="N14" s="14">
        <v>88019.6952207468</v>
      </c>
      <c r="O14" s="14">
        <v>88380.7778765368</v>
      </c>
      <c r="P14" s="14">
        <v>90258.2154441068</v>
      </c>
      <c r="Q14" s="14">
        <v>84742.19300642681</v>
      </c>
      <c r="R14" s="14">
        <v>74027.9757247332</v>
      </c>
      <c r="S14" s="14">
        <v>73795.90403470681</v>
      </c>
      <c r="T14" s="14">
        <v>68802.56782973319</v>
      </c>
      <c r="U14" s="14">
        <v>66607.55747245319</v>
      </c>
      <c r="V14" s="14">
        <v>78365.8213045068</v>
      </c>
      <c r="W14" s="14">
        <v>75681.1235478268</v>
      </c>
      <c r="X14" s="14">
        <v>70488.71154835519</v>
      </c>
      <c r="Y14" s="14">
        <v>73084.0686812668</v>
      </c>
      <c r="Z14" s="14">
        <v>73200</v>
      </c>
    </row>
    <row r="15" spans="1:21" ht="12.75">
      <c r="A15" s="9" t="s">
        <v>183</v>
      </c>
      <c r="C15" s="9" t="s">
        <v>181</v>
      </c>
      <c r="D15" s="9" t="s">
        <v>172</v>
      </c>
      <c r="E15" s="9" t="s">
        <v>173</v>
      </c>
      <c r="U15" s="8">
        <v>72.59144127501787</v>
      </c>
    </row>
    <row r="16" spans="1:26" ht="12.75">
      <c r="A16" s="9" t="s">
        <v>174</v>
      </c>
      <c r="E16" s="9" t="s">
        <v>25</v>
      </c>
      <c r="F16" s="8">
        <f aca="true" t="shared" si="3" ref="F16:Z16">F14*$U15/1000000</f>
        <v>6.370414159849967</v>
      </c>
      <c r="G16" s="8">
        <f t="shared" si="3"/>
        <v>6.245527902482714</v>
      </c>
      <c r="H16" s="8">
        <f t="shared" si="3"/>
        <v>6.037299189154857</v>
      </c>
      <c r="I16" s="8">
        <f t="shared" si="3"/>
        <v>5.814917370524938</v>
      </c>
      <c r="J16" s="8">
        <f t="shared" si="3"/>
        <v>5.64630824425735</v>
      </c>
      <c r="K16" s="8">
        <f t="shared" si="3"/>
        <v>5.502724357257401</v>
      </c>
      <c r="L16" s="8">
        <f t="shared" si="3"/>
        <v>5.4676730491330074</v>
      </c>
      <c r="M16" s="8">
        <f t="shared" si="3"/>
        <v>5.282894220051296</v>
      </c>
      <c r="N16" s="8">
        <f t="shared" si="3"/>
        <v>6.389476536661812</v>
      </c>
      <c r="O16" s="8">
        <f t="shared" si="3"/>
        <v>6.41568804706502</v>
      </c>
      <c r="P16" s="8">
        <f t="shared" si="3"/>
        <v>6.55197394599879</v>
      </c>
      <c r="Q16" s="8">
        <f t="shared" si="3"/>
        <v>6.151557927142261</v>
      </c>
      <c r="R16" s="8">
        <f t="shared" si="3"/>
        <v>5.373797452530418</v>
      </c>
      <c r="S16" s="8">
        <f t="shared" si="3"/>
        <v>5.3569510340722735</v>
      </c>
      <c r="T16" s="8">
        <f t="shared" si="3"/>
        <v>4.99447756218251</v>
      </c>
      <c r="U16" s="8">
        <f t="shared" si="3"/>
        <v>4.835138596733964</v>
      </c>
      <c r="V16" s="8">
        <f t="shared" si="3"/>
        <v>5.68868791519465</v>
      </c>
      <c r="W16" s="8">
        <f t="shared" si="3"/>
        <v>5.493801835649442</v>
      </c>
      <c r="X16" s="8">
        <f t="shared" si="3"/>
        <v>5.1168771649141</v>
      </c>
      <c r="Y16" s="8">
        <f t="shared" si="3"/>
        <v>5.305277879815551</v>
      </c>
      <c r="Z16" s="8">
        <f t="shared" si="3"/>
        <v>5.313693501331308</v>
      </c>
    </row>
    <row r="18" ht="12.75">
      <c r="A18" s="9" t="s">
        <v>176</v>
      </c>
    </row>
    <row r="19" spans="1:26" ht="12.75">
      <c r="A19" s="9" t="s">
        <v>169</v>
      </c>
      <c r="C19" s="9" t="s">
        <v>180</v>
      </c>
      <c r="D19" s="13" t="s">
        <v>170</v>
      </c>
      <c r="E19" s="9" t="s">
        <v>177</v>
      </c>
      <c r="F19" s="36">
        <v>46399.360757722876</v>
      </c>
      <c r="G19" s="36">
        <v>44207.97925740261</v>
      </c>
      <c r="H19" s="36">
        <v>43291.70065237943</v>
      </c>
      <c r="I19" s="36">
        <v>42379.488479360916</v>
      </c>
      <c r="J19" s="36">
        <v>41021.675622232724</v>
      </c>
      <c r="K19" s="36">
        <v>39330.37368364859</v>
      </c>
      <c r="L19" s="36">
        <v>38397.113036920084</v>
      </c>
      <c r="M19" s="14">
        <v>38193.543271649796</v>
      </c>
      <c r="N19" s="14">
        <v>44525.57704335714</v>
      </c>
      <c r="O19" s="14">
        <v>41456.535426603776</v>
      </c>
      <c r="P19" s="14">
        <v>45628.24834770571</v>
      </c>
      <c r="Q19" s="14">
        <v>40582.629100750986</v>
      </c>
      <c r="R19" s="14">
        <v>37082.685593681425</v>
      </c>
      <c r="S19" s="14">
        <v>34690.90737045123</v>
      </c>
      <c r="T19" s="14">
        <v>36800.394456143134</v>
      </c>
      <c r="U19" s="14">
        <v>34109.489470786095</v>
      </c>
      <c r="V19" s="14">
        <v>36586.63583363033</v>
      </c>
      <c r="W19" s="14">
        <v>33635.160610576415</v>
      </c>
      <c r="X19" s="14">
        <v>33243.056051013264</v>
      </c>
      <c r="Y19" s="14">
        <v>37620.80208158</v>
      </c>
      <c r="Z19" s="14">
        <v>33757.142857142855</v>
      </c>
    </row>
    <row r="20" spans="1:21" ht="12.75">
      <c r="A20" s="9" t="s">
        <v>184</v>
      </c>
      <c r="C20" s="9" t="s">
        <v>181</v>
      </c>
      <c r="D20" s="9" t="s">
        <v>172</v>
      </c>
      <c r="E20" s="9" t="s">
        <v>173</v>
      </c>
      <c r="U20" s="8">
        <v>169.34318359497502</v>
      </c>
    </row>
    <row r="21" spans="1:26" ht="12.75">
      <c r="A21" s="9" t="s">
        <v>174</v>
      </c>
      <c r="E21" s="9" t="s">
        <v>25</v>
      </c>
      <c r="F21" s="8">
        <f>F19*$U20/1000000</f>
        <v>7.857415467484544</v>
      </c>
      <c r="G21" s="8">
        <f aca="true" t="shared" si="4" ref="G21:Z21">G19*$U20/1000000</f>
        <v>7.486319947749177</v>
      </c>
      <c r="H21" s="8">
        <f t="shared" si="4"/>
        <v>7.33115441171459</v>
      </c>
      <c r="I21" s="8">
        <f t="shared" si="4"/>
        <v>7.176677498221545</v>
      </c>
      <c r="J21" s="8">
        <f t="shared" si="4"/>
        <v>6.946741146269267</v>
      </c>
      <c r="K21" s="8">
        <f t="shared" si="4"/>
        <v>6.660330691569077</v>
      </c>
      <c r="L21" s="8">
        <f t="shared" si="4"/>
        <v>6.502289362528167</v>
      </c>
      <c r="M21" s="8">
        <f t="shared" si="4"/>
        <v>6.4678162103936145</v>
      </c>
      <c r="N21" s="8">
        <f t="shared" si="4"/>
        <v>7.540102967925433</v>
      </c>
      <c r="O21" s="8">
        <f t="shared" si="4"/>
        <v>7.02038168995895</v>
      </c>
      <c r="P21" s="8">
        <f t="shared" si="4"/>
        <v>7.726832837062644</v>
      </c>
      <c r="Q21" s="8">
        <f t="shared" si="4"/>
        <v>6.87239161057525</v>
      </c>
      <c r="R21" s="8">
        <f t="shared" si="4"/>
        <v>6.279700034685529</v>
      </c>
      <c r="S21" s="8">
        <f t="shared" si="4"/>
        <v>5.874668695910595</v>
      </c>
      <c r="T21" s="8">
        <f t="shared" si="4"/>
        <v>6.2318959547541475</v>
      </c>
      <c r="U21" s="8">
        <f t="shared" si="4"/>
        <v>5.776209537782197</v>
      </c>
      <c r="V21" s="8">
        <f t="shared" si="4"/>
        <v>6.195697389096953</v>
      </c>
      <c r="W21" s="8">
        <f t="shared" si="4"/>
        <v>5.695885178523314</v>
      </c>
      <c r="X21" s="8">
        <f t="shared" si="4"/>
        <v>5.629484944104784</v>
      </c>
      <c r="Y21" s="8">
        <f t="shared" si="4"/>
        <v>6.37082639389122</v>
      </c>
      <c r="Z21" s="8">
        <f t="shared" si="4"/>
        <v>5.716542040498942</v>
      </c>
    </row>
  </sheetData>
  <hyperlinks>
    <hyperlink ref="A2" location="'Ægte opsparing'!A1" display="Retur til forsiden"/>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9"/>
  <sheetViews>
    <sheetView workbookViewId="0" topLeftCell="A1">
      <selection activeCell="A2" sqref="A2"/>
    </sheetView>
  </sheetViews>
  <sheetFormatPr defaultColWidth="9.140625" defaultRowHeight="12.75"/>
  <cols>
    <col min="1" max="3" width="9.140625" style="9" customWidth="1"/>
    <col min="4" max="4" width="11.140625" style="9" customWidth="1"/>
    <col min="5" max="16384" width="9.140625" style="9" customWidth="1"/>
  </cols>
  <sheetData>
    <row r="1" s="15" customFormat="1" ht="37.5" customHeight="1">
      <c r="A1" s="15" t="s">
        <v>273</v>
      </c>
    </row>
    <row r="2" spans="1:18" s="17" customFormat="1" ht="30" customHeight="1">
      <c r="A2" s="16" t="s">
        <v>287</v>
      </c>
      <c r="C2" s="17" t="s">
        <v>3</v>
      </c>
      <c r="D2" s="17" t="s">
        <v>2</v>
      </c>
      <c r="E2" s="17" t="s">
        <v>1</v>
      </c>
      <c r="F2" s="17">
        <v>1998</v>
      </c>
      <c r="G2" s="17">
        <f aca="true" t="shared" si="0" ref="G2:R2">F2+1</f>
        <v>1999</v>
      </c>
      <c r="H2" s="17">
        <f t="shared" si="0"/>
        <v>2000</v>
      </c>
      <c r="I2" s="17">
        <f t="shared" si="0"/>
        <v>2001</v>
      </c>
      <c r="J2" s="17">
        <f t="shared" si="0"/>
        <v>2002</v>
      </c>
      <c r="K2" s="17">
        <f t="shared" si="0"/>
        <v>2003</v>
      </c>
      <c r="L2" s="17">
        <f t="shared" si="0"/>
        <v>2004</v>
      </c>
      <c r="M2" s="17">
        <f t="shared" si="0"/>
        <v>2005</v>
      </c>
      <c r="N2" s="17">
        <f t="shared" si="0"/>
        <v>2006</v>
      </c>
      <c r="O2" s="17">
        <f t="shared" si="0"/>
        <v>2007</v>
      </c>
      <c r="P2" s="17">
        <f t="shared" si="0"/>
        <v>2008</v>
      </c>
      <c r="Q2" s="17">
        <f t="shared" si="0"/>
        <v>2009</v>
      </c>
      <c r="R2" s="17">
        <f t="shared" si="0"/>
        <v>2010</v>
      </c>
    </row>
    <row r="3" spans="1:18" ht="12.75">
      <c r="A3" s="9" t="s">
        <v>21</v>
      </c>
      <c r="E3" s="9" t="s">
        <v>25</v>
      </c>
      <c r="F3" s="29"/>
      <c r="G3" s="30">
        <f>G7*$M$8/100</f>
        <v>-1.4660141863320155</v>
      </c>
      <c r="H3" s="30">
        <f aca="true" t="shared" si="1" ref="H3:R3">H7*$M$8/100</f>
        <v>1.1402332560360104</v>
      </c>
      <c r="I3" s="30">
        <f t="shared" si="1"/>
        <v>-0.3257809302960022</v>
      </c>
      <c r="J3" s="30">
        <f t="shared" si="1"/>
        <v>-1.7917951166280175</v>
      </c>
      <c r="K3" s="30">
        <f t="shared" si="1"/>
        <v>-2.6062474423680273</v>
      </c>
      <c r="L3" s="30">
        <f t="shared" si="1"/>
        <v>-0.3257809302960036</v>
      </c>
      <c r="M3" s="30">
        <f t="shared" si="1"/>
        <v>-1.4660141863320155</v>
      </c>
      <c r="N3" s="30">
        <f t="shared" si="1"/>
        <v>-0.4886713954440047</v>
      </c>
      <c r="O3" s="30">
        <f t="shared" si="1"/>
        <v>-0.1628904651480011</v>
      </c>
      <c r="P3" s="30">
        <f t="shared" si="1"/>
        <v>1.1402332560360118</v>
      </c>
      <c r="Q3" s="30">
        <f t="shared" si="1"/>
        <v>-1.4660141863320155</v>
      </c>
      <c r="R3" s="30">
        <f t="shared" si="1"/>
        <v>0.3257809302960036</v>
      </c>
    </row>
    <row r="4" spans="1:18" ht="12.75">
      <c r="A4" s="9" t="s">
        <v>21</v>
      </c>
      <c r="E4" s="9" t="s">
        <v>105</v>
      </c>
      <c r="F4" s="8"/>
      <c r="G4" s="8">
        <f>G3/BNP!AH3*100</f>
        <v>-0.10454354890765283</v>
      </c>
      <c r="H4" s="8">
        <f>H3/BNP!AI3*100</f>
        <v>0.07853927924204508</v>
      </c>
      <c r="I4" s="8">
        <f>I3/BNP!AJ3*100</f>
        <v>-0.022281713309349718</v>
      </c>
      <c r="J4" s="8">
        <f>J3/BNP!AK3*100</f>
        <v>-0.1219821033853916</v>
      </c>
      <c r="K4" s="8">
        <f>K3/BNP!AL3*100</f>
        <v>-0.17675465868891335</v>
      </c>
      <c r="L4" s="8">
        <f>L3/BNP!AM3*100</f>
        <v>-0.021597781112172074</v>
      </c>
      <c r="M4" s="8">
        <f>M3/BNP!AN3*100</f>
        <v>-0.09486922839138133</v>
      </c>
      <c r="N4" s="8">
        <f>N3/BNP!AO3*100</f>
        <v>-0.03058592948889057</v>
      </c>
      <c r="O4" s="8">
        <f>O3/BNP!AP3*100</f>
        <v>-0.010036381093530567</v>
      </c>
      <c r="P4" s="8">
        <f>P3/BNP!AQ3*100</f>
        <v>0.07080874719220094</v>
      </c>
      <c r="Q4" s="8">
        <f>Q3/BNP!AR3*100</f>
        <v>-0.09668365009114394</v>
      </c>
      <c r="R4" s="8">
        <f>R3/BNP!AS3*100</f>
        <v>0.02120969598281273</v>
      </c>
    </row>
    <row r="6" spans="1:18" ht="12.75">
      <c r="A6" s="9" t="s">
        <v>58</v>
      </c>
      <c r="C6" s="9" t="s">
        <v>27</v>
      </c>
      <c r="D6" s="9" t="s">
        <v>29</v>
      </c>
      <c r="E6" s="9" t="s">
        <v>28</v>
      </c>
      <c r="F6" s="30">
        <v>9.8</v>
      </c>
      <c r="G6" s="30">
        <v>8.9</v>
      </c>
      <c r="H6" s="30">
        <v>9.6</v>
      </c>
      <c r="I6" s="30">
        <v>9.4</v>
      </c>
      <c r="J6" s="30">
        <v>8.3</v>
      </c>
      <c r="K6" s="30">
        <v>6.7</v>
      </c>
      <c r="L6" s="30">
        <v>6.5</v>
      </c>
      <c r="M6" s="30">
        <v>5.6</v>
      </c>
      <c r="N6" s="30">
        <v>5.3</v>
      </c>
      <c r="O6" s="30">
        <v>5.2</v>
      </c>
      <c r="P6" s="30">
        <v>5.9</v>
      </c>
      <c r="Q6" s="30">
        <v>5</v>
      </c>
      <c r="R6" s="30">
        <v>5.2</v>
      </c>
    </row>
    <row r="7" spans="1:18" ht="12.75">
      <c r="A7" s="9" t="s">
        <v>30</v>
      </c>
      <c r="E7" s="9" t="s">
        <v>31</v>
      </c>
      <c r="F7" s="14"/>
      <c r="G7" s="30">
        <f>G6-F6</f>
        <v>-0.9000000000000004</v>
      </c>
      <c r="H7" s="30">
        <f aca="true" t="shared" si="2" ref="H7:R7">H6-G6</f>
        <v>0.6999999999999993</v>
      </c>
      <c r="I7" s="30">
        <f t="shared" si="2"/>
        <v>-0.1999999999999993</v>
      </c>
      <c r="J7" s="30">
        <f t="shared" si="2"/>
        <v>-1.0999999999999996</v>
      </c>
      <c r="K7" s="30">
        <f t="shared" si="2"/>
        <v>-1.6000000000000005</v>
      </c>
      <c r="L7" s="30">
        <f t="shared" si="2"/>
        <v>-0.20000000000000018</v>
      </c>
      <c r="M7" s="30">
        <f t="shared" si="2"/>
        <v>-0.9000000000000004</v>
      </c>
      <c r="N7" s="30">
        <f t="shared" si="2"/>
        <v>-0.2999999999999998</v>
      </c>
      <c r="O7" s="30">
        <f t="shared" si="2"/>
        <v>-0.09999999999999964</v>
      </c>
      <c r="P7" s="30">
        <f t="shared" si="2"/>
        <v>0.7000000000000002</v>
      </c>
      <c r="Q7" s="30">
        <f t="shared" si="2"/>
        <v>-0.9000000000000004</v>
      </c>
      <c r="R7" s="30">
        <f t="shared" si="2"/>
        <v>0.20000000000000018</v>
      </c>
    </row>
    <row r="8" spans="1:13" ht="12.75">
      <c r="A8" s="9" t="s">
        <v>32</v>
      </c>
      <c r="C8" s="9" t="s">
        <v>33</v>
      </c>
      <c r="D8" s="9" t="s">
        <v>34</v>
      </c>
      <c r="E8" s="9" t="s">
        <v>25</v>
      </c>
      <c r="M8" s="30">
        <v>162.89046514800165</v>
      </c>
    </row>
    <row r="9" ht="12.75">
      <c r="M9" s="14"/>
    </row>
  </sheetData>
  <hyperlinks>
    <hyperlink ref="A2" location="'Ægte opsparing'!A1" display="Retur til forsiden"/>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Z25"/>
  <sheetViews>
    <sheetView workbookViewId="0" topLeftCell="A1">
      <selection activeCell="A1" sqref="A1"/>
    </sheetView>
  </sheetViews>
  <sheetFormatPr defaultColWidth="9.140625" defaultRowHeight="12.75"/>
  <cols>
    <col min="1" max="3" width="9.140625" style="9" customWidth="1"/>
    <col min="4" max="4" width="10.7109375" style="9" customWidth="1"/>
    <col min="5" max="5" width="17.57421875" style="9" customWidth="1"/>
    <col min="6" max="16384" width="9.140625" style="9" customWidth="1"/>
  </cols>
  <sheetData>
    <row r="1" s="15" customFormat="1" ht="37.5" customHeight="1">
      <c r="A1" s="15" t="s">
        <v>289</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6" ht="12.75">
      <c r="A3" s="9" t="s">
        <v>21</v>
      </c>
      <c r="D3" s="9" t="s">
        <v>136</v>
      </c>
      <c r="E3" s="9" t="s">
        <v>25</v>
      </c>
      <c r="F3" s="8">
        <f>-F15/1000</f>
        <v>-9.664139854723587</v>
      </c>
      <c r="G3" s="8">
        <f aca="true" t="shared" si="1" ref="G3:Z3">-G15/1000</f>
        <v>-12.417510163655333</v>
      </c>
      <c r="H3" s="8">
        <f t="shared" si="1"/>
        <v>-14.847257333397732</v>
      </c>
      <c r="I3" s="8">
        <f t="shared" si="1"/>
        <v>-14.733611653134044</v>
      </c>
      <c r="J3" s="8">
        <f t="shared" si="1"/>
        <v>-15.945893686840792</v>
      </c>
      <c r="K3" s="8">
        <f t="shared" si="1"/>
        <v>-17.007114337705946</v>
      </c>
      <c r="L3" s="8">
        <f t="shared" si="1"/>
        <v>-22.216388448916188</v>
      </c>
      <c r="M3" s="8">
        <f t="shared" si="1"/>
        <v>-25.921646995516987</v>
      </c>
      <c r="N3" s="8">
        <f t="shared" si="1"/>
        <v>-24.48625611037606</v>
      </c>
      <c r="O3" s="8">
        <f t="shared" si="1"/>
        <v>-31.338105165603682</v>
      </c>
      <c r="P3" s="8">
        <f t="shared" si="1"/>
        <v>-37.357796056377914</v>
      </c>
      <c r="Q3" s="8">
        <f t="shared" si="1"/>
        <v>-35.35315698070452</v>
      </c>
      <c r="R3" s="8">
        <f t="shared" si="1"/>
        <v>-38.26221476612621</v>
      </c>
      <c r="S3" s="8">
        <f t="shared" si="1"/>
        <v>-36.31829033609042</v>
      </c>
      <c r="T3" s="8">
        <f t="shared" si="1"/>
        <v>-39.08191133206313</v>
      </c>
      <c r="U3" s="8">
        <f t="shared" si="1"/>
        <v>-38.66988</v>
      </c>
      <c r="V3" s="8">
        <f t="shared" si="1"/>
        <v>-34.68529804035182</v>
      </c>
      <c r="W3" s="8">
        <f t="shared" si="1"/>
        <v>-29.73836388600406</v>
      </c>
      <c r="X3" s="8">
        <f t="shared" si="1"/>
        <v>-25.784298649887052</v>
      </c>
      <c r="Y3" s="8">
        <f t="shared" si="1"/>
        <v>-20.97323184648623</v>
      </c>
      <c r="Z3" s="8">
        <f t="shared" si="1"/>
        <v>-18.81818842211962</v>
      </c>
    </row>
    <row r="4" spans="1:26" ht="12.75">
      <c r="A4" s="9" t="s">
        <v>21</v>
      </c>
      <c r="E4" s="9" t="s">
        <v>105</v>
      </c>
      <c r="F4" s="8">
        <f>F3/BNP!Y3*100</f>
        <v>-0.8601050066503727</v>
      </c>
      <c r="G4" s="8">
        <f>G3/BNP!Z3*100</f>
        <v>-1.0909778741570313</v>
      </c>
      <c r="H4" s="8">
        <f>H3/BNP!AA3*100</f>
        <v>-1.2792742834221724</v>
      </c>
      <c r="I4" s="8">
        <f>I3/BNP!AB3*100</f>
        <v>-1.2705770656376376</v>
      </c>
      <c r="J4" s="8">
        <f>J3/BNP!AC3*100</f>
        <v>-1.3030884764926691</v>
      </c>
      <c r="K4" s="8">
        <f>K3/BNP!AD3*100</f>
        <v>-1.3484867061295547</v>
      </c>
      <c r="L4" s="8">
        <f>L3/BNP!AE3*100</f>
        <v>-1.7130378941256987</v>
      </c>
      <c r="M4" s="8">
        <f>M3/BNP!AF3*100</f>
        <v>-1.9367638221396433</v>
      </c>
      <c r="N4" s="8">
        <f>N3/BNP!AG3*100</f>
        <v>-1.7908473714895097</v>
      </c>
      <c r="O4" s="8">
        <f>O3/BNP!AH3*100</f>
        <v>-2.2347646841334723</v>
      </c>
      <c r="P4" s="8">
        <f>P3/BNP!AI3*100</f>
        <v>-2.5732054040761754</v>
      </c>
      <c r="Q4" s="8">
        <f>Q3/BNP!AJ3*100</f>
        <v>-2.4179712044801667</v>
      </c>
      <c r="R4" s="8">
        <f>R3/BNP!AK3*100</f>
        <v>-2.6048209385340195</v>
      </c>
      <c r="S4" s="8">
        <f>S3/BNP!AL3*100</f>
        <v>-2.463091918351334</v>
      </c>
      <c r="T4" s="8">
        <f>T3/BNP!AM3*100</f>
        <v>-2.590951427477004</v>
      </c>
      <c r="U4" s="8">
        <f>U3/BNP!AN3*100</f>
        <v>-2.5024189477771306</v>
      </c>
      <c r="V4" s="8">
        <f>V3/BNP!AO3*100</f>
        <v>-2.1709518708363156</v>
      </c>
      <c r="W4" s="8">
        <f>W3/BNP!AP3*100</f>
        <v>-1.8323083109059803</v>
      </c>
      <c r="X4" s="8">
        <f>X3/BNP!AQ3*100</f>
        <v>-1.6012108706382076</v>
      </c>
      <c r="Y4" s="8">
        <f>Y3/BNP!AR3*100</f>
        <v>-1.383184847753494</v>
      </c>
      <c r="Z4" s="8">
        <f>Z3/BNP!AS3*100</f>
        <v>-1.2251424753984128</v>
      </c>
    </row>
    <row r="7" ht="12.75">
      <c r="A7" s="9" t="s">
        <v>137</v>
      </c>
    </row>
    <row r="9" spans="1:26" ht="12.75">
      <c r="A9" s="9" t="s">
        <v>12</v>
      </c>
      <c r="C9" s="9" t="s">
        <v>4</v>
      </c>
      <c r="D9" s="9" t="s">
        <v>5</v>
      </c>
      <c r="E9" s="9" t="s">
        <v>290</v>
      </c>
      <c r="F9" s="35">
        <v>17255</v>
      </c>
      <c r="G9" s="35">
        <v>20071</v>
      </c>
      <c r="H9" s="35">
        <v>22588</v>
      </c>
      <c r="I9" s="35">
        <v>22670</v>
      </c>
      <c r="J9" s="35">
        <v>24232</v>
      </c>
      <c r="K9" s="35">
        <v>25720</v>
      </c>
      <c r="L9" s="35">
        <v>31249</v>
      </c>
      <c r="M9" s="35">
        <v>35308</v>
      </c>
      <c r="N9" s="35">
        <v>33987</v>
      </c>
      <c r="O9" s="35">
        <v>41150</v>
      </c>
      <c r="P9" s="35">
        <v>47361</v>
      </c>
      <c r="Q9" s="35">
        <v>45474</v>
      </c>
      <c r="R9" s="35">
        <v>48568</v>
      </c>
      <c r="S9" s="35">
        <v>47266</v>
      </c>
      <c r="T9" s="35">
        <v>50543</v>
      </c>
      <c r="U9" s="35">
        <v>50404</v>
      </c>
      <c r="V9" s="35">
        <v>46542</v>
      </c>
      <c r="W9" s="35">
        <v>41864</v>
      </c>
      <c r="X9" s="35">
        <v>38330</v>
      </c>
      <c r="Y9" s="35">
        <v>33861</v>
      </c>
      <c r="Z9" s="35">
        <v>32166</v>
      </c>
    </row>
    <row r="10" spans="1:26" ht="12.75">
      <c r="A10" s="9" t="s">
        <v>6</v>
      </c>
      <c r="D10" s="9" t="s">
        <v>138</v>
      </c>
      <c r="E10" s="9" t="s">
        <v>290</v>
      </c>
      <c r="F10" s="14">
        <f aca="true" t="shared" si="2" ref="F10:Z10">F20/F22</f>
        <v>1291.1004651911037</v>
      </c>
      <c r="G10" s="14">
        <f t="shared" si="2"/>
        <v>1333.7861359741003</v>
      </c>
      <c r="H10" s="14">
        <f t="shared" si="2"/>
        <v>1320.3717349252506</v>
      </c>
      <c r="I10" s="14">
        <f t="shared" si="2"/>
        <v>1269.4243116817884</v>
      </c>
      <c r="J10" s="14">
        <f t="shared" si="2"/>
        <v>1349.3986124192784</v>
      </c>
      <c r="K10" s="14">
        <f t="shared" si="2"/>
        <v>1427.0716723549485</v>
      </c>
      <c r="L10" s="14">
        <f t="shared" si="2"/>
        <v>1366.739705499465</v>
      </c>
      <c r="M10" s="14">
        <f t="shared" si="2"/>
        <v>1365.282752382168</v>
      </c>
      <c r="N10" s="14">
        <f t="shared" si="2"/>
        <v>1252.9944601720788</v>
      </c>
      <c r="O10" s="14">
        <f t="shared" si="2"/>
        <v>1298.6466944603735</v>
      </c>
      <c r="P10" s="14">
        <f t="shared" si="2"/>
        <v>1354.2327213332928</v>
      </c>
      <c r="Q10" s="14">
        <f t="shared" si="2"/>
        <v>1366.7673964627313</v>
      </c>
      <c r="R10" s="14">
        <f t="shared" si="2"/>
        <v>1258.4569604098874</v>
      </c>
      <c r="S10" s="14">
        <f t="shared" si="2"/>
        <v>1308.7820434657867</v>
      </c>
      <c r="T10" s="14">
        <f t="shared" si="2"/>
        <v>1214.2888758705983</v>
      </c>
      <c r="U10" s="14">
        <f t="shared" si="2"/>
        <v>1260</v>
      </c>
      <c r="V10" s="14">
        <f t="shared" si="2"/>
        <v>1276.9727851812904</v>
      </c>
      <c r="W10" s="14">
        <f t="shared" si="2"/>
        <v>1359.4639867530466</v>
      </c>
      <c r="X10" s="14">
        <f t="shared" si="2"/>
        <v>1442.3795370147984</v>
      </c>
      <c r="Y10" s="14">
        <f t="shared" si="2"/>
        <v>1496.355296648145</v>
      </c>
      <c r="Z10" s="14">
        <f t="shared" si="2"/>
        <v>1511.2413834577953</v>
      </c>
    </row>
    <row r="11" spans="1:26" ht="12.75">
      <c r="A11" s="20" t="s">
        <v>127</v>
      </c>
      <c r="D11" s="9" t="s">
        <v>129</v>
      </c>
      <c r="E11" s="9" t="s">
        <v>290</v>
      </c>
      <c r="F11" s="14">
        <f aca="true" t="shared" si="3" ref="F11:Z11">F23/F24*F9</f>
        <v>-13.800319914689416</v>
      </c>
      <c r="G11" s="14">
        <f t="shared" si="3"/>
        <v>-2.656299629433563</v>
      </c>
      <c r="H11" s="14">
        <f t="shared" si="3"/>
        <v>-70.14906832298136</v>
      </c>
      <c r="I11" s="14">
        <f t="shared" si="3"/>
        <v>-90.35596481583286</v>
      </c>
      <c r="J11" s="14">
        <f t="shared" si="3"/>
        <v>-112.89229926007125</v>
      </c>
      <c r="K11" s="14">
        <f t="shared" si="3"/>
        <v>-74.90601006089489</v>
      </c>
      <c r="L11" s="14">
        <f t="shared" si="3"/>
        <v>-90.88815441565309</v>
      </c>
      <c r="M11" s="14">
        <f t="shared" si="3"/>
        <v>-95.36974789915968</v>
      </c>
      <c r="N11" s="14">
        <f t="shared" si="3"/>
        <v>-95.21057054813708</v>
      </c>
      <c r="O11" s="14">
        <f t="shared" si="3"/>
        <v>-40.551860064055184</v>
      </c>
      <c r="P11" s="14">
        <f t="shared" si="3"/>
        <v>-38.308777711204314</v>
      </c>
      <c r="Q11" s="14">
        <f t="shared" si="3"/>
        <v>-62.164377167244595</v>
      </c>
      <c r="R11" s="14">
        <f t="shared" si="3"/>
        <v>-49.39172653610209</v>
      </c>
      <c r="S11" s="14">
        <f t="shared" si="3"/>
        <v>-20.472379556207102</v>
      </c>
      <c r="T11" s="14">
        <f t="shared" si="3"/>
        <v>-11.240207933728074</v>
      </c>
      <c r="U11" s="14">
        <f t="shared" si="3"/>
        <v>-18</v>
      </c>
      <c r="V11" s="14">
        <f t="shared" si="3"/>
        <v>-36.03082553311282</v>
      </c>
      <c r="W11" s="14">
        <f t="shared" si="3"/>
        <v>-59.82787275710581</v>
      </c>
      <c r="X11" s="14">
        <f t="shared" si="3"/>
        <v>-45.31818690185176</v>
      </c>
      <c r="Y11" s="14">
        <f t="shared" si="3"/>
        <v>-83.54714313437387</v>
      </c>
      <c r="Z11" s="14">
        <f t="shared" si="3"/>
        <v>-53.70980557741397</v>
      </c>
    </row>
    <row r="12" spans="1:26" ht="12.75">
      <c r="A12" s="20" t="s">
        <v>128</v>
      </c>
      <c r="E12" s="9" t="s">
        <v>290</v>
      </c>
      <c r="F12" s="14">
        <f>F9-F10-F11</f>
        <v>15977.699854723585</v>
      </c>
      <c r="G12" s="14">
        <f aca="true" t="shared" si="4" ref="G12:Z12">G9-G10-G11</f>
        <v>18739.870163655334</v>
      </c>
      <c r="H12" s="14">
        <f t="shared" si="4"/>
        <v>21337.77733339773</v>
      </c>
      <c r="I12" s="14">
        <f t="shared" si="4"/>
        <v>21490.931653134045</v>
      </c>
      <c r="J12" s="14">
        <f t="shared" si="4"/>
        <v>22995.493686840793</v>
      </c>
      <c r="K12" s="14">
        <f t="shared" si="4"/>
        <v>24367.834337705946</v>
      </c>
      <c r="L12" s="14">
        <f t="shared" si="4"/>
        <v>29973.14844891619</v>
      </c>
      <c r="M12" s="14">
        <f t="shared" si="4"/>
        <v>34038.08699551699</v>
      </c>
      <c r="N12" s="14">
        <f t="shared" si="4"/>
        <v>32829.21611037606</v>
      </c>
      <c r="O12" s="14">
        <f t="shared" si="4"/>
        <v>39891.90516560368</v>
      </c>
      <c r="P12" s="14">
        <f t="shared" si="4"/>
        <v>46045.07605637791</v>
      </c>
      <c r="Q12" s="14">
        <f t="shared" si="4"/>
        <v>44169.396980704514</v>
      </c>
      <c r="R12" s="14">
        <f t="shared" si="4"/>
        <v>47358.934766126215</v>
      </c>
      <c r="S12" s="14">
        <f t="shared" si="4"/>
        <v>45977.690336090425</v>
      </c>
      <c r="T12" s="14">
        <f t="shared" si="4"/>
        <v>49339.95133206313</v>
      </c>
      <c r="U12" s="14">
        <f t="shared" si="4"/>
        <v>49162</v>
      </c>
      <c r="V12" s="14">
        <f t="shared" si="4"/>
        <v>45301.05804035182</v>
      </c>
      <c r="W12" s="14">
        <f t="shared" si="4"/>
        <v>40564.36388600406</v>
      </c>
      <c r="X12" s="14">
        <f t="shared" si="4"/>
        <v>36932.93864988705</v>
      </c>
      <c r="Y12" s="14">
        <f t="shared" si="4"/>
        <v>32448.19184648623</v>
      </c>
      <c r="Z12" s="14">
        <f t="shared" si="4"/>
        <v>30708.46842211962</v>
      </c>
    </row>
    <row r="13" spans="1:26" ht="12.75">
      <c r="A13" s="20" t="s">
        <v>130</v>
      </c>
      <c r="C13" s="9" t="s">
        <v>131</v>
      </c>
      <c r="E13" s="9" t="s">
        <v>290</v>
      </c>
      <c r="F13" s="35">
        <v>3049</v>
      </c>
      <c r="G13" s="35">
        <v>3039</v>
      </c>
      <c r="H13" s="35">
        <v>3061</v>
      </c>
      <c r="I13" s="35">
        <v>3145</v>
      </c>
      <c r="J13" s="35">
        <v>3268</v>
      </c>
      <c r="K13" s="35">
        <v>3452</v>
      </c>
      <c r="L13" s="35">
        <v>3661</v>
      </c>
      <c r="M13" s="35">
        <v>3851</v>
      </c>
      <c r="N13" s="35">
        <v>3946</v>
      </c>
      <c r="O13" s="35">
        <v>4057</v>
      </c>
      <c r="P13" s="35">
        <v>4106</v>
      </c>
      <c r="Q13" s="35">
        <v>4212</v>
      </c>
      <c r="R13" s="35">
        <v>4304</v>
      </c>
      <c r="S13" s="35">
        <v>4605</v>
      </c>
      <c r="T13" s="35">
        <v>4829</v>
      </c>
      <c r="U13" s="35">
        <v>4973</v>
      </c>
      <c r="V13" s="35">
        <v>5094</v>
      </c>
      <c r="W13" s="35">
        <v>5254</v>
      </c>
      <c r="X13" s="35">
        <v>5420</v>
      </c>
      <c r="Y13" s="35">
        <v>5596</v>
      </c>
      <c r="Z13" s="35">
        <v>5773</v>
      </c>
    </row>
    <row r="14" spans="1:26" ht="12.75">
      <c r="A14" s="20" t="s">
        <v>132</v>
      </c>
      <c r="D14" s="9" t="s">
        <v>133</v>
      </c>
      <c r="E14" s="9" t="s">
        <v>290</v>
      </c>
      <c r="F14" s="14">
        <f aca="true" t="shared" si="5" ref="F14:Z14">F25*0.08</f>
        <v>3264.56</v>
      </c>
      <c r="G14" s="14">
        <f t="shared" si="5"/>
        <v>3283.36</v>
      </c>
      <c r="H14" s="14">
        <f t="shared" si="5"/>
        <v>3429.52</v>
      </c>
      <c r="I14" s="14">
        <f t="shared" si="5"/>
        <v>3612.32</v>
      </c>
      <c r="J14" s="14">
        <f t="shared" si="5"/>
        <v>3781.6</v>
      </c>
      <c r="K14" s="14">
        <f t="shared" si="5"/>
        <v>3908.7200000000003</v>
      </c>
      <c r="L14" s="14">
        <f t="shared" si="5"/>
        <v>4095.76</v>
      </c>
      <c r="M14" s="14">
        <f t="shared" si="5"/>
        <v>4265.4400000000005</v>
      </c>
      <c r="N14" s="14">
        <f t="shared" si="5"/>
        <v>4396.96</v>
      </c>
      <c r="O14" s="14">
        <f t="shared" si="5"/>
        <v>4496.8</v>
      </c>
      <c r="P14" s="14">
        <f t="shared" si="5"/>
        <v>4581.28</v>
      </c>
      <c r="Q14" s="14">
        <f t="shared" si="5"/>
        <v>4604.24</v>
      </c>
      <c r="R14" s="14">
        <f t="shared" si="5"/>
        <v>4792.72</v>
      </c>
      <c r="S14" s="14">
        <f t="shared" si="5"/>
        <v>5054.400000000001</v>
      </c>
      <c r="T14" s="14">
        <f t="shared" si="5"/>
        <v>5429.04</v>
      </c>
      <c r="U14" s="14">
        <f t="shared" si="5"/>
        <v>5519.12</v>
      </c>
      <c r="V14" s="14">
        <f t="shared" si="5"/>
        <v>5521.76</v>
      </c>
      <c r="W14" s="14">
        <f t="shared" si="5"/>
        <v>5572</v>
      </c>
      <c r="X14" s="14">
        <f t="shared" si="5"/>
        <v>5728.64</v>
      </c>
      <c r="Y14" s="14">
        <f t="shared" si="5"/>
        <v>5878.96</v>
      </c>
      <c r="Z14" s="14">
        <f t="shared" si="5"/>
        <v>6117.28</v>
      </c>
    </row>
    <row r="15" spans="1:26" ht="12.75">
      <c r="A15" s="20" t="s">
        <v>135</v>
      </c>
      <c r="E15" s="9" t="s">
        <v>290</v>
      </c>
      <c r="F15" s="14">
        <f>F12-F13-F14</f>
        <v>9664.139854723586</v>
      </c>
      <c r="G15" s="14">
        <f aca="true" t="shared" si="6" ref="G15:Z15">G12-G13-G14</f>
        <v>12417.510163655334</v>
      </c>
      <c r="H15" s="14">
        <f t="shared" si="6"/>
        <v>14847.25733339773</v>
      </c>
      <c r="I15" s="14">
        <f t="shared" si="6"/>
        <v>14733.611653134045</v>
      </c>
      <c r="J15" s="14">
        <f t="shared" si="6"/>
        <v>15945.893686840793</v>
      </c>
      <c r="K15" s="14">
        <f t="shared" si="6"/>
        <v>17007.114337705945</v>
      </c>
      <c r="L15" s="14">
        <f t="shared" si="6"/>
        <v>22216.388448916186</v>
      </c>
      <c r="M15" s="14">
        <f t="shared" si="6"/>
        <v>25921.64699551699</v>
      </c>
      <c r="N15" s="14">
        <f t="shared" si="6"/>
        <v>24486.25611037606</v>
      </c>
      <c r="O15" s="14">
        <f t="shared" si="6"/>
        <v>31338.105165603683</v>
      </c>
      <c r="P15" s="14">
        <f t="shared" si="6"/>
        <v>37357.79605637791</v>
      </c>
      <c r="Q15" s="14">
        <f t="shared" si="6"/>
        <v>35353.156980704516</v>
      </c>
      <c r="R15" s="14">
        <f t="shared" si="6"/>
        <v>38262.21476612621</v>
      </c>
      <c r="S15" s="14">
        <f t="shared" si="6"/>
        <v>36318.290336090424</v>
      </c>
      <c r="T15" s="14">
        <f t="shared" si="6"/>
        <v>39081.91133206313</v>
      </c>
      <c r="U15" s="14">
        <f t="shared" si="6"/>
        <v>38669.88</v>
      </c>
      <c r="V15" s="14">
        <f t="shared" si="6"/>
        <v>34685.298040351816</v>
      </c>
      <c r="W15" s="14">
        <f t="shared" si="6"/>
        <v>29738.36388600406</v>
      </c>
      <c r="X15" s="14">
        <f t="shared" si="6"/>
        <v>25784.298649887052</v>
      </c>
      <c r="Y15" s="14">
        <f t="shared" si="6"/>
        <v>20973.23184648623</v>
      </c>
      <c r="Z15" s="14">
        <f t="shared" si="6"/>
        <v>18818.18842211962</v>
      </c>
    </row>
    <row r="16" spans="6:26" ht="12.75">
      <c r="F16" s="14"/>
      <c r="G16" s="14"/>
      <c r="H16" s="14"/>
      <c r="I16" s="14"/>
      <c r="J16" s="14"/>
      <c r="K16" s="14"/>
      <c r="L16" s="14"/>
      <c r="M16" s="14"/>
      <c r="N16" s="14"/>
      <c r="O16" s="14"/>
      <c r="P16" s="14"/>
      <c r="Q16" s="14"/>
      <c r="R16" s="14"/>
      <c r="S16" s="14"/>
      <c r="T16" s="14"/>
      <c r="U16" s="14"/>
      <c r="V16" s="14"/>
      <c r="W16" s="14"/>
      <c r="X16" s="14"/>
      <c r="Y16" s="14"/>
      <c r="Z16" s="14"/>
    </row>
    <row r="17" spans="6:26" ht="12.75">
      <c r="F17" s="14"/>
      <c r="G17" s="14"/>
      <c r="H17" s="14"/>
      <c r="I17" s="14"/>
      <c r="J17" s="14"/>
      <c r="K17" s="14"/>
      <c r="L17" s="14"/>
      <c r="M17" s="14"/>
      <c r="N17" s="14"/>
      <c r="O17" s="14"/>
      <c r="P17" s="14"/>
      <c r="Q17" s="14"/>
      <c r="R17" s="14"/>
      <c r="S17" s="14"/>
      <c r="T17" s="14"/>
      <c r="U17" s="14"/>
      <c r="V17" s="14"/>
      <c r="W17" s="14"/>
      <c r="X17" s="14"/>
      <c r="Y17" s="14"/>
      <c r="Z17" s="14"/>
    </row>
    <row r="18" spans="6:26" ht="12.75">
      <c r="F18" s="14"/>
      <c r="G18" s="14"/>
      <c r="H18" s="14"/>
      <c r="I18" s="14"/>
      <c r="J18" s="14"/>
      <c r="K18" s="14"/>
      <c r="L18" s="14"/>
      <c r="M18" s="14"/>
      <c r="N18" s="14"/>
      <c r="O18" s="14"/>
      <c r="P18" s="14"/>
      <c r="Q18" s="14"/>
      <c r="R18" s="14"/>
      <c r="S18" s="14"/>
      <c r="T18" s="14"/>
      <c r="U18" s="14"/>
      <c r="V18" s="14"/>
      <c r="W18" s="14"/>
      <c r="X18" s="14"/>
      <c r="Y18" s="14"/>
      <c r="Z18" s="14"/>
    </row>
    <row r="19" spans="1:26" ht="12.75">
      <c r="A19" s="9" t="s">
        <v>0</v>
      </c>
      <c r="F19" s="14"/>
      <c r="G19" s="14"/>
      <c r="H19" s="14"/>
      <c r="I19" s="14"/>
      <c r="J19" s="14"/>
      <c r="K19" s="14"/>
      <c r="L19" s="14"/>
      <c r="M19" s="14"/>
      <c r="N19" s="14"/>
      <c r="O19" s="14"/>
      <c r="P19" s="14"/>
      <c r="Q19" s="14"/>
      <c r="R19" s="14"/>
      <c r="S19" s="14"/>
      <c r="T19" s="14"/>
      <c r="U19" s="14"/>
      <c r="V19" s="14"/>
      <c r="W19" s="14"/>
      <c r="X19" s="14"/>
      <c r="Y19" s="14"/>
      <c r="Z19" s="14"/>
    </row>
    <row r="20" spans="1:26" ht="12.75">
      <c r="A20" s="9" t="s">
        <v>6</v>
      </c>
      <c r="C20" s="9" t="s">
        <v>4</v>
      </c>
      <c r="D20" s="9" t="s">
        <v>5</v>
      </c>
      <c r="E20" s="9" t="s">
        <v>7</v>
      </c>
      <c r="F20" s="35">
        <v>826</v>
      </c>
      <c r="G20" s="35">
        <v>871</v>
      </c>
      <c r="H20" s="35">
        <v>884</v>
      </c>
      <c r="I20" s="35">
        <v>867</v>
      </c>
      <c r="J20" s="35">
        <v>940</v>
      </c>
      <c r="K20" s="35">
        <v>988</v>
      </c>
      <c r="L20" s="35">
        <v>1013</v>
      </c>
      <c r="M20" s="35">
        <v>1055</v>
      </c>
      <c r="N20" s="35">
        <v>968</v>
      </c>
      <c r="O20" s="35">
        <v>1078</v>
      </c>
      <c r="P20" s="35">
        <v>1152</v>
      </c>
      <c r="Q20" s="35">
        <v>1198</v>
      </c>
      <c r="R20" s="35">
        <v>1146</v>
      </c>
      <c r="S20" s="35">
        <v>1252</v>
      </c>
      <c r="T20" s="35">
        <v>1200</v>
      </c>
      <c r="U20" s="35">
        <v>1260</v>
      </c>
      <c r="V20" s="35">
        <v>1354</v>
      </c>
      <c r="W20" s="35">
        <v>1528</v>
      </c>
      <c r="X20" s="35">
        <v>1674</v>
      </c>
      <c r="Y20" s="35">
        <v>1790</v>
      </c>
      <c r="Z20" s="35">
        <v>1832</v>
      </c>
    </row>
    <row r="21" spans="1:26" ht="12.75">
      <c r="A21" s="9" t="s">
        <v>10</v>
      </c>
      <c r="C21" s="9" t="s">
        <v>9</v>
      </c>
      <c r="E21" s="9" t="s">
        <v>8</v>
      </c>
      <c r="F21" s="14">
        <v>149.186</v>
      </c>
      <c r="G21" s="14">
        <v>152.279</v>
      </c>
      <c r="H21" s="14">
        <v>156.122</v>
      </c>
      <c r="I21" s="14">
        <v>159.265</v>
      </c>
      <c r="J21" s="14">
        <v>162.441</v>
      </c>
      <c r="K21" s="14">
        <v>161.443</v>
      </c>
      <c r="L21" s="14">
        <v>172.835</v>
      </c>
      <c r="M21" s="14">
        <v>180.193</v>
      </c>
      <c r="N21" s="14">
        <v>180.15</v>
      </c>
      <c r="O21" s="14">
        <v>193.569</v>
      </c>
      <c r="P21" s="14">
        <v>198.366</v>
      </c>
      <c r="Q21" s="14">
        <v>204.395</v>
      </c>
      <c r="R21" s="14">
        <v>212.351</v>
      </c>
      <c r="S21" s="14">
        <v>223.072</v>
      </c>
      <c r="T21" s="14">
        <v>230.445</v>
      </c>
      <c r="U21" s="14">
        <v>233.189</v>
      </c>
      <c r="V21" s="14">
        <v>247.255</v>
      </c>
      <c r="W21" s="14">
        <v>262.098</v>
      </c>
      <c r="X21" s="14">
        <v>270.635</v>
      </c>
      <c r="Y21" s="14">
        <v>278.95</v>
      </c>
      <c r="Z21" s="14">
        <v>282.683</v>
      </c>
    </row>
    <row r="22" spans="1:26" ht="12.75">
      <c r="A22" s="9" t="s">
        <v>11</v>
      </c>
      <c r="E22" s="9" t="s">
        <v>36</v>
      </c>
      <c r="F22" s="41">
        <f aca="true" t="shared" si="7" ref="F22:Z22">F21/$U21</f>
        <v>0.6397643113525938</v>
      </c>
      <c r="G22" s="41">
        <f t="shared" si="7"/>
        <v>0.653028230319612</v>
      </c>
      <c r="H22" s="41">
        <f t="shared" si="7"/>
        <v>0.6695084244968674</v>
      </c>
      <c r="I22" s="41">
        <f t="shared" si="7"/>
        <v>0.6829867618112346</v>
      </c>
      <c r="J22" s="41">
        <f t="shared" si="7"/>
        <v>0.6966066152348525</v>
      </c>
      <c r="K22" s="41">
        <f t="shared" si="7"/>
        <v>0.6923268250217636</v>
      </c>
      <c r="L22" s="41">
        <f t="shared" si="7"/>
        <v>0.7411799012817929</v>
      </c>
      <c r="M22" s="41">
        <f t="shared" si="7"/>
        <v>0.7727337052776933</v>
      </c>
      <c r="N22" s="41">
        <f t="shared" si="7"/>
        <v>0.7725493054989729</v>
      </c>
      <c r="O22" s="41">
        <f t="shared" si="7"/>
        <v>0.8300949015605367</v>
      </c>
      <c r="P22" s="41">
        <f t="shared" si="7"/>
        <v>0.8506661978052139</v>
      </c>
      <c r="Q22" s="41">
        <f t="shared" si="7"/>
        <v>0.8765207621285739</v>
      </c>
      <c r="R22" s="41">
        <f t="shared" si="7"/>
        <v>0.91063900955877</v>
      </c>
      <c r="S22" s="41">
        <f t="shared" si="7"/>
        <v>0.9566145915973738</v>
      </c>
      <c r="T22" s="41">
        <f t="shared" si="7"/>
        <v>0.9882327210974788</v>
      </c>
      <c r="U22" s="41">
        <f t="shared" si="7"/>
        <v>1</v>
      </c>
      <c r="V22" s="41">
        <f t="shared" si="7"/>
        <v>1.0603201694762618</v>
      </c>
      <c r="W22" s="41">
        <f t="shared" si="7"/>
        <v>1.1239724000703293</v>
      </c>
      <c r="X22" s="41">
        <f t="shared" si="7"/>
        <v>1.1605821886967225</v>
      </c>
      <c r="Y22" s="41">
        <f t="shared" si="7"/>
        <v>1.1962399598608853</v>
      </c>
      <c r="Z22" s="41">
        <f t="shared" si="7"/>
        <v>1.2122484336739727</v>
      </c>
    </row>
    <row r="23" spans="1:26" ht="12.75">
      <c r="A23" s="20" t="s">
        <v>127</v>
      </c>
      <c r="C23" s="9" t="s">
        <v>4</v>
      </c>
      <c r="E23" s="9" t="s">
        <v>291</v>
      </c>
      <c r="F23" s="35">
        <v>-6</v>
      </c>
      <c r="G23" s="35">
        <v>-1</v>
      </c>
      <c r="H23" s="35">
        <v>-25</v>
      </c>
      <c r="I23" s="35">
        <v>-29</v>
      </c>
      <c r="J23" s="35">
        <v>-34</v>
      </c>
      <c r="K23" s="35">
        <v>-22</v>
      </c>
      <c r="L23" s="35">
        <v>-33</v>
      </c>
      <c r="M23" s="35">
        <v>-36</v>
      </c>
      <c r="N23" s="35">
        <v>-30</v>
      </c>
      <c r="O23" s="35">
        <v>-16</v>
      </c>
      <c r="P23" s="35">
        <v>-27</v>
      </c>
      <c r="Q23" s="35">
        <v>-41</v>
      </c>
      <c r="R23" s="35">
        <v>-31</v>
      </c>
      <c r="S23" s="35">
        <v>-13</v>
      </c>
      <c r="T23" s="35">
        <v>-8</v>
      </c>
      <c r="U23" s="35">
        <v>-18</v>
      </c>
      <c r="V23" s="35">
        <v>-44</v>
      </c>
      <c r="W23" s="35">
        <v>-81</v>
      </c>
      <c r="X23" s="35">
        <v>-74</v>
      </c>
      <c r="Y23" s="35">
        <v>-89</v>
      </c>
      <c r="Z23" s="35">
        <v>-87</v>
      </c>
    </row>
    <row r="24" spans="1:26" ht="12.75">
      <c r="A24" s="9" t="s">
        <v>12</v>
      </c>
      <c r="C24" s="9" t="s">
        <v>4</v>
      </c>
      <c r="E24" s="9" t="s">
        <v>291</v>
      </c>
      <c r="F24" s="35">
        <v>7502</v>
      </c>
      <c r="G24" s="35">
        <v>7556</v>
      </c>
      <c r="H24" s="35">
        <v>8050</v>
      </c>
      <c r="I24" s="35">
        <v>7276</v>
      </c>
      <c r="J24" s="35">
        <v>7298</v>
      </c>
      <c r="K24" s="35">
        <v>7554</v>
      </c>
      <c r="L24" s="35">
        <v>11346</v>
      </c>
      <c r="M24" s="35">
        <v>13328</v>
      </c>
      <c r="N24" s="35">
        <v>10709</v>
      </c>
      <c r="O24" s="35">
        <v>16236</v>
      </c>
      <c r="P24" s="35">
        <v>33380</v>
      </c>
      <c r="Q24" s="35">
        <v>29992</v>
      </c>
      <c r="R24" s="35">
        <v>30483</v>
      </c>
      <c r="S24" s="35">
        <v>30014</v>
      </c>
      <c r="T24" s="35">
        <v>35973</v>
      </c>
      <c r="U24" s="35">
        <v>50404</v>
      </c>
      <c r="V24" s="35">
        <v>56836</v>
      </c>
      <c r="W24" s="35">
        <v>56679</v>
      </c>
      <c r="X24" s="35">
        <v>62589</v>
      </c>
      <c r="Y24" s="35">
        <v>36071</v>
      </c>
      <c r="Z24" s="35">
        <v>52103</v>
      </c>
    </row>
    <row r="25" spans="1:26" ht="12.75">
      <c r="A25" s="20" t="s">
        <v>134</v>
      </c>
      <c r="C25" s="9" t="s">
        <v>131</v>
      </c>
      <c r="E25" s="9" t="s">
        <v>290</v>
      </c>
      <c r="F25" s="35">
        <v>40807</v>
      </c>
      <c r="G25" s="35">
        <v>41042</v>
      </c>
      <c r="H25" s="35">
        <v>42869</v>
      </c>
      <c r="I25" s="35">
        <v>45154</v>
      </c>
      <c r="J25" s="35">
        <v>47270</v>
      </c>
      <c r="K25" s="35">
        <v>48859</v>
      </c>
      <c r="L25" s="35">
        <v>51197</v>
      </c>
      <c r="M25" s="35">
        <v>53318</v>
      </c>
      <c r="N25" s="35">
        <v>54962</v>
      </c>
      <c r="O25" s="35">
        <v>56210</v>
      </c>
      <c r="P25" s="35">
        <v>57266</v>
      </c>
      <c r="Q25" s="35">
        <v>57553</v>
      </c>
      <c r="R25" s="35">
        <v>59909</v>
      </c>
      <c r="S25" s="35">
        <v>63180</v>
      </c>
      <c r="T25" s="35">
        <v>67863</v>
      </c>
      <c r="U25" s="35">
        <v>68989</v>
      </c>
      <c r="V25" s="35">
        <v>69022</v>
      </c>
      <c r="W25" s="35">
        <v>69650</v>
      </c>
      <c r="X25" s="35">
        <v>71608</v>
      </c>
      <c r="Y25" s="35">
        <v>73487</v>
      </c>
      <c r="Z25" s="35">
        <v>76466</v>
      </c>
    </row>
  </sheetData>
  <hyperlinks>
    <hyperlink ref="A2" location="'Ægte opsparing'!A1" display="Retur til forsiden"/>
  </hyperlink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Z79"/>
  <sheetViews>
    <sheetView workbookViewId="0" topLeftCell="A1">
      <selection activeCell="A8" sqref="A8"/>
    </sheetView>
  </sheetViews>
  <sheetFormatPr defaultColWidth="9.140625" defaultRowHeight="12.75"/>
  <cols>
    <col min="1" max="3" width="9.140625" style="21" customWidth="1"/>
    <col min="4" max="4" width="10.140625" style="21" customWidth="1"/>
    <col min="5" max="7" width="9.140625" style="21" customWidth="1"/>
    <col min="8" max="8" width="11.140625" style="21" bestFit="1" customWidth="1"/>
    <col min="9" max="16384" width="9.140625" style="21" customWidth="1"/>
  </cols>
  <sheetData>
    <row r="1" s="15" customFormat="1" ht="37.5" customHeight="1">
      <c r="A1" s="15" t="s">
        <v>275</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6" ht="12.75">
      <c r="A3" s="21" t="s">
        <v>21</v>
      </c>
      <c r="E3" s="21" t="s">
        <v>25</v>
      </c>
      <c r="G3" s="22">
        <f>(G54-F54)/1000</f>
        <v>-0.42880100916802805</v>
      </c>
      <c r="H3" s="22">
        <f aca="true" t="shared" si="1" ref="H3:Y3">(H54-G54)/1000</f>
        <v>-0.3836680166666656</v>
      </c>
      <c r="I3" s="22">
        <f t="shared" si="1"/>
        <v>-0.33006608333333315</v>
      </c>
      <c r="J3" s="22">
        <f t="shared" si="1"/>
        <v>0.33360575430984774</v>
      </c>
      <c r="K3" s="22">
        <f t="shared" si="1"/>
        <v>0.17956677117909112</v>
      </c>
      <c r="L3" s="22">
        <f t="shared" si="1"/>
        <v>0.40804976161058676</v>
      </c>
      <c r="M3" s="22">
        <f t="shared" si="1"/>
        <v>0.007615033973629579</v>
      </c>
      <c r="N3" s="22">
        <f t="shared" si="1"/>
        <v>0.035266721947902625</v>
      </c>
      <c r="O3" s="22">
        <f t="shared" si="1"/>
        <v>0.008305383333334249</v>
      </c>
      <c r="P3" s="22">
        <f t="shared" si="1"/>
        <v>-0.3419850866666675</v>
      </c>
      <c r="Q3" s="22">
        <f t="shared" si="1"/>
        <v>-0.40893705000000047</v>
      </c>
      <c r="R3" s="22">
        <f t="shared" si="1"/>
        <v>-0.43955731666666636</v>
      </c>
      <c r="S3" s="22">
        <f t="shared" si="1"/>
        <v>-0.05506611666666686</v>
      </c>
      <c r="T3" s="22">
        <f t="shared" si="1"/>
        <v>-0.2762077500000005</v>
      </c>
      <c r="U3" s="22">
        <f t="shared" si="1"/>
        <v>-0.11148243749999984</v>
      </c>
      <c r="V3" s="22">
        <f t="shared" si="1"/>
        <v>-0.33994365833333356</v>
      </c>
      <c r="W3" s="22">
        <f t="shared" si="1"/>
        <v>-0.5654978083333331</v>
      </c>
      <c r="X3" s="22">
        <f t="shared" si="1"/>
        <v>-0.36194067500000027</v>
      </c>
      <c r="Y3" s="22">
        <f t="shared" si="1"/>
        <v>-0.0366218208333321</v>
      </c>
      <c r="Z3" s="22"/>
    </row>
    <row r="4" spans="1:26" ht="12.75">
      <c r="A4" s="9" t="s">
        <v>21</v>
      </c>
      <c r="B4" s="9"/>
      <c r="C4" s="9"/>
      <c r="D4" s="9"/>
      <c r="E4" s="9" t="s">
        <v>105</v>
      </c>
      <c r="G4" s="23">
        <f>G3/BNP!Z3*100</f>
        <v>-0.03767360825584502</v>
      </c>
      <c r="H4" s="23">
        <f>H3/BNP!AA3*100</f>
        <v>-0.03305773019702444</v>
      </c>
      <c r="I4" s="23">
        <f>I3/BNP!AB3*100</f>
        <v>-0.028463787800390924</v>
      </c>
      <c r="J4" s="23">
        <f>J3/BNP!AC3*100</f>
        <v>0.0272620539601085</v>
      </c>
      <c r="K4" s="23">
        <f>K3/BNP!AD3*100</f>
        <v>0.014237771263803607</v>
      </c>
      <c r="L4" s="23">
        <f>L3/BNP!AE3*100</f>
        <v>0.031463471478956485</v>
      </c>
      <c r="M4" s="23">
        <f>M3/BNP!AF3*100</f>
        <v>0.0005689654792012536</v>
      </c>
      <c r="N4" s="23">
        <f>N3/BNP!AG3*100</f>
        <v>0.0025792965660720126</v>
      </c>
      <c r="O4" s="23">
        <f>O3/BNP!AH3*100</f>
        <v>0.0005922686538782178</v>
      </c>
      <c r="P4" s="23">
        <f>P3/BNP!AI3*100</f>
        <v>-0.023555936538549906</v>
      </c>
      <c r="Q4" s="23">
        <f>Q3/BNP!AJ3*100</f>
        <v>-0.02796915737637648</v>
      </c>
      <c r="R4" s="23">
        <f>R3/BNP!AK3*100</f>
        <v>-0.029924250572991105</v>
      </c>
      <c r="S4" s="23">
        <f>S3/BNP!AL3*100</f>
        <v>-0.003734561998417556</v>
      </c>
      <c r="T4" s="23">
        <f>T3/BNP!AM3*100</f>
        <v>-0.018311306682577598</v>
      </c>
      <c r="U4" s="23">
        <f>U3/BNP!AN3*100</f>
        <v>-0.0072142909143855455</v>
      </c>
      <c r="V4" s="23">
        <f>V3/BNP!AO3*100</f>
        <v>-0.021277064425945645</v>
      </c>
      <c r="W4" s="23">
        <f>W3/BNP!AP3*100</f>
        <v>-0.03484274851098786</v>
      </c>
      <c r="X4" s="23">
        <f>X3/BNP!AQ3*100</f>
        <v>-0.022476599080916617</v>
      </c>
      <c r="Y4" s="23">
        <f>Y3/BNP!AR3*100</f>
        <v>-0.0024152094462396687</v>
      </c>
      <c r="Z4" s="23"/>
    </row>
    <row r="6" spans="1:25" ht="12.75">
      <c r="A6" s="21" t="s">
        <v>214</v>
      </c>
      <c r="F6" s="24"/>
      <c r="G6" s="24"/>
      <c r="H6" s="24"/>
      <c r="I6" s="24"/>
      <c r="J6" s="24"/>
      <c r="K6" s="24"/>
      <c r="L6" s="24"/>
      <c r="M6" s="24"/>
      <c r="N6" s="24"/>
      <c r="O6" s="24"/>
      <c r="P6" s="24"/>
      <c r="Q6" s="24"/>
      <c r="R6" s="24"/>
      <c r="S6" s="24"/>
      <c r="T6" s="24"/>
      <c r="U6" s="24"/>
      <c r="V6" s="24"/>
      <c r="W6" s="24"/>
      <c r="X6" s="24"/>
      <c r="Y6" s="24"/>
    </row>
    <row r="7" spans="1:25" ht="12.75">
      <c r="A7" s="21" t="s">
        <v>296</v>
      </c>
      <c r="F7" s="24"/>
      <c r="G7" s="24"/>
      <c r="H7" s="24"/>
      <c r="I7" s="24"/>
      <c r="J7" s="24"/>
      <c r="K7" s="24"/>
      <c r="L7" s="24"/>
      <c r="M7" s="24"/>
      <c r="N7" s="24"/>
      <c r="O7" s="24"/>
      <c r="P7" s="24"/>
      <c r="Q7" s="24"/>
      <c r="R7" s="24"/>
      <c r="S7" s="24"/>
      <c r="T7" s="24"/>
      <c r="U7" s="24"/>
      <c r="V7" s="24"/>
      <c r="W7" s="24"/>
      <c r="X7" s="24"/>
      <c r="Y7" s="24"/>
    </row>
    <row r="8" spans="1:26" ht="12.75">
      <c r="A8" s="21" t="s">
        <v>215</v>
      </c>
      <c r="C8" s="21" t="s">
        <v>216</v>
      </c>
      <c r="E8" s="21" t="s">
        <v>217</v>
      </c>
      <c r="F8" s="24">
        <v>94210</v>
      </c>
      <c r="G8" s="24">
        <v>75950</v>
      </c>
      <c r="H8" s="24">
        <v>58610</v>
      </c>
      <c r="I8" s="25">
        <v>44540</v>
      </c>
      <c r="J8" s="24">
        <v>49770</v>
      </c>
      <c r="K8" s="25">
        <v>68110</v>
      </c>
      <c r="L8" s="24">
        <v>92960</v>
      </c>
      <c r="M8" s="24">
        <v>88994</v>
      </c>
      <c r="N8" s="24">
        <v>84754</v>
      </c>
      <c r="O8" s="24">
        <v>78261</v>
      </c>
      <c r="P8" s="24">
        <v>57445</v>
      </c>
      <c r="Q8" s="24">
        <v>47059</v>
      </c>
      <c r="R8" s="24">
        <v>36753</v>
      </c>
      <c r="S8" s="24">
        <v>30324</v>
      </c>
      <c r="T8" s="24">
        <v>25512</v>
      </c>
      <c r="U8" s="24">
        <v>28111</v>
      </c>
      <c r="V8" s="24">
        <v>29926</v>
      </c>
      <c r="W8" s="24">
        <v>27148</v>
      </c>
      <c r="X8" s="24">
        <v>24003</v>
      </c>
      <c r="Y8" s="24">
        <v>25863</v>
      </c>
      <c r="Z8" s="24"/>
    </row>
    <row r="9" spans="1:26" ht="12.75">
      <c r="A9" s="21" t="s">
        <v>223</v>
      </c>
      <c r="C9" s="21" t="s">
        <v>216</v>
      </c>
      <c r="E9" s="21" t="s">
        <v>217</v>
      </c>
      <c r="F9" s="25">
        <v>138640</v>
      </c>
      <c r="G9" s="25">
        <v>129380</v>
      </c>
      <c r="H9" s="24">
        <v>144110</v>
      </c>
      <c r="I9" s="25">
        <v>155225</v>
      </c>
      <c r="J9" s="24">
        <v>165060</v>
      </c>
      <c r="K9" s="25">
        <v>148530</v>
      </c>
      <c r="L9" s="24">
        <v>128520</v>
      </c>
      <c r="M9" s="25">
        <v>167028.66310160427</v>
      </c>
      <c r="N9" s="24">
        <v>177150</v>
      </c>
      <c r="O9" s="24">
        <v>183504</v>
      </c>
      <c r="P9" s="24">
        <v>185360</v>
      </c>
      <c r="Q9" s="24">
        <v>166891</v>
      </c>
      <c r="R9" s="24">
        <v>161463</v>
      </c>
      <c r="S9" s="24">
        <v>187599</v>
      </c>
      <c r="T9" s="24">
        <v>195450</v>
      </c>
      <c r="U9" s="24">
        <v>241649</v>
      </c>
      <c r="V9" s="24">
        <v>200164</v>
      </c>
      <c r="W9" s="24">
        <v>157424</v>
      </c>
      <c r="X9" s="24">
        <v>121028</v>
      </c>
      <c r="Y9" s="24">
        <v>105496</v>
      </c>
      <c r="Z9" s="24"/>
    </row>
    <row r="10" spans="1:26" ht="12.75">
      <c r="A10" s="21" t="s">
        <v>225</v>
      </c>
      <c r="C10" s="21" t="s">
        <v>216</v>
      </c>
      <c r="E10" s="21" t="s">
        <v>217</v>
      </c>
      <c r="F10" s="24">
        <v>48440</v>
      </c>
      <c r="G10" s="24">
        <v>46040</v>
      </c>
      <c r="H10" s="24">
        <v>47678</v>
      </c>
      <c r="I10" s="25">
        <v>46143</v>
      </c>
      <c r="J10" s="24">
        <v>44608</v>
      </c>
      <c r="K10" s="25">
        <v>37094</v>
      </c>
      <c r="L10" s="24">
        <v>29580</v>
      </c>
      <c r="M10" s="24">
        <v>28730</v>
      </c>
      <c r="N10" s="24">
        <v>30690</v>
      </c>
      <c r="O10" s="24">
        <v>33640</v>
      </c>
      <c r="P10" s="24">
        <v>32750</v>
      </c>
      <c r="Q10" s="24">
        <v>27670</v>
      </c>
      <c r="R10" s="24">
        <v>23729</v>
      </c>
      <c r="S10" s="24">
        <v>29847</v>
      </c>
      <c r="T10" s="24">
        <v>23337</v>
      </c>
      <c r="U10" s="24">
        <v>21780</v>
      </c>
      <c r="V10" s="24">
        <v>21550</v>
      </c>
      <c r="W10" s="24">
        <v>21035</v>
      </c>
      <c r="X10" s="24">
        <v>21229</v>
      </c>
      <c r="Y10" s="24">
        <v>22063</v>
      </c>
      <c r="Z10" s="24"/>
    </row>
    <row r="11" spans="1:26" ht="12.75">
      <c r="A11" s="21" t="s">
        <v>226</v>
      </c>
      <c r="C11" s="21" t="s">
        <v>216</v>
      </c>
      <c r="E11" s="21" t="s">
        <v>217</v>
      </c>
      <c r="F11" s="25">
        <v>24065.1</v>
      </c>
      <c r="G11" s="25">
        <v>28825.1</v>
      </c>
      <c r="H11" s="25">
        <v>30825.1</v>
      </c>
      <c r="I11" s="25">
        <v>33070.1</v>
      </c>
      <c r="J11" s="25">
        <v>35315.1</v>
      </c>
      <c r="K11" s="25">
        <v>30532.6</v>
      </c>
      <c r="L11" s="25">
        <v>25750.1</v>
      </c>
      <c r="M11" s="25">
        <v>26735.1</v>
      </c>
      <c r="N11" s="25">
        <v>27590.1</v>
      </c>
      <c r="O11" s="25">
        <v>27590.1</v>
      </c>
      <c r="P11" s="24">
        <v>31205</v>
      </c>
      <c r="Q11" s="24">
        <v>32449</v>
      </c>
      <c r="R11" s="24">
        <v>33128</v>
      </c>
      <c r="S11" s="24">
        <v>28398</v>
      </c>
      <c r="T11" s="24">
        <v>27560</v>
      </c>
      <c r="U11" s="24">
        <v>23129</v>
      </c>
      <c r="V11" s="24">
        <v>24195</v>
      </c>
      <c r="W11" s="24">
        <v>24999</v>
      </c>
      <c r="X11" s="24">
        <v>25000</v>
      </c>
      <c r="Y11" s="24">
        <v>29414</v>
      </c>
      <c r="Z11" s="24"/>
    </row>
    <row r="12" spans="1:26" ht="12.75">
      <c r="A12" s="21" t="s">
        <v>227</v>
      </c>
      <c r="C12" s="21" t="s">
        <v>216</v>
      </c>
      <c r="E12" s="21" t="s">
        <v>217</v>
      </c>
      <c r="F12" s="25">
        <v>170790.38825757575</v>
      </c>
      <c r="G12" s="25">
        <v>170790.38825757575</v>
      </c>
      <c r="H12" s="25">
        <v>170790.38825757575</v>
      </c>
      <c r="I12" s="25">
        <v>170790.38825757575</v>
      </c>
      <c r="J12" s="24">
        <v>180000</v>
      </c>
      <c r="K12" s="25">
        <v>153711.34943181815</v>
      </c>
      <c r="L12" s="25">
        <v>187869.4270833333</v>
      </c>
      <c r="M12" s="25">
        <v>187869.4270833333</v>
      </c>
      <c r="N12" s="24">
        <v>179840</v>
      </c>
      <c r="O12" s="24">
        <v>179840</v>
      </c>
      <c r="P12" s="24">
        <v>227340</v>
      </c>
      <c r="Q12" s="24">
        <v>246510</v>
      </c>
      <c r="R12" s="24">
        <v>220340</v>
      </c>
      <c r="S12" s="24">
        <v>220340</v>
      </c>
      <c r="T12" s="24">
        <v>220340</v>
      </c>
      <c r="U12" s="25">
        <v>143496.5</v>
      </c>
      <c r="V12" s="25">
        <v>109403</v>
      </c>
      <c r="W12" s="25">
        <v>75309.5</v>
      </c>
      <c r="X12" s="24">
        <v>41216</v>
      </c>
      <c r="Y12" s="24">
        <v>27176</v>
      </c>
      <c r="Z12" s="24"/>
    </row>
    <row r="13" spans="1:25" ht="12.75">
      <c r="A13" s="21" t="s">
        <v>228</v>
      </c>
      <c r="C13" s="21" t="s">
        <v>216</v>
      </c>
      <c r="E13" s="21" t="s">
        <v>217</v>
      </c>
      <c r="F13" s="25">
        <v>1050280</v>
      </c>
      <c r="G13" s="25">
        <v>1050280</v>
      </c>
      <c r="H13" s="25">
        <v>1050280</v>
      </c>
      <c r="I13" s="25">
        <v>1050280</v>
      </c>
      <c r="J13" s="25">
        <v>1050280</v>
      </c>
      <c r="K13" s="25">
        <v>1050280</v>
      </c>
      <c r="L13" s="25">
        <v>1050280</v>
      </c>
      <c r="M13" s="25">
        <v>1050280</v>
      </c>
      <c r="N13" s="25">
        <v>1050280</v>
      </c>
      <c r="O13" s="25">
        <v>1050280</v>
      </c>
      <c r="P13" s="24">
        <v>1057500</v>
      </c>
      <c r="Q13" s="24">
        <v>1057500</v>
      </c>
      <c r="R13" s="24">
        <v>956567</v>
      </c>
      <c r="S13" s="24">
        <v>938517</v>
      </c>
      <c r="T13" s="24">
        <v>851922</v>
      </c>
      <c r="U13" s="25">
        <v>754047</v>
      </c>
      <c r="V13" s="25">
        <v>641214.25</v>
      </c>
      <c r="W13" s="25">
        <v>528381.5</v>
      </c>
      <c r="X13" s="25">
        <v>415548.75</v>
      </c>
      <c r="Y13" s="25">
        <v>302716</v>
      </c>
    </row>
    <row r="14" spans="1:25" ht="12.75">
      <c r="A14" s="21" t="s">
        <v>229</v>
      </c>
      <c r="C14" s="21" t="s">
        <v>216</v>
      </c>
      <c r="E14" s="21" t="s">
        <v>217</v>
      </c>
      <c r="F14" s="24">
        <v>5910</v>
      </c>
      <c r="G14" s="24">
        <v>6120</v>
      </c>
      <c r="H14" s="24">
        <v>5070</v>
      </c>
      <c r="I14" s="25">
        <v>4660</v>
      </c>
      <c r="J14" s="24">
        <v>4250</v>
      </c>
      <c r="K14" s="25">
        <v>4425</v>
      </c>
      <c r="L14" s="24">
        <v>4600</v>
      </c>
      <c r="M14" s="24">
        <v>4770</v>
      </c>
      <c r="N14" s="24">
        <v>4020</v>
      </c>
      <c r="O14" s="24">
        <v>4560</v>
      </c>
      <c r="P14" s="24">
        <v>3520</v>
      </c>
      <c r="Q14" s="24">
        <v>3610</v>
      </c>
      <c r="R14" s="24">
        <v>5598</v>
      </c>
      <c r="S14" s="24">
        <v>6842</v>
      </c>
      <c r="T14" s="24">
        <v>7879</v>
      </c>
      <c r="U14" s="24">
        <v>6013</v>
      </c>
      <c r="V14" s="24">
        <v>5111</v>
      </c>
      <c r="W14" s="24">
        <v>5111</v>
      </c>
      <c r="X14" s="24">
        <v>5636</v>
      </c>
      <c r="Y14" s="24">
        <v>5222</v>
      </c>
    </row>
    <row r="15" spans="1:25" ht="12.75">
      <c r="A15" s="21" t="s">
        <v>230</v>
      </c>
      <c r="C15" s="21" t="s">
        <v>216</v>
      </c>
      <c r="E15" s="21" t="s">
        <v>217</v>
      </c>
      <c r="F15" s="25">
        <v>108876.06236225009</v>
      </c>
      <c r="G15" s="25">
        <v>103095.39711735178</v>
      </c>
      <c r="H15" s="25">
        <v>102150.39711735178</v>
      </c>
      <c r="I15" s="25">
        <v>109710.39711735178</v>
      </c>
      <c r="J15" s="25">
        <v>194846.45947960188</v>
      </c>
      <c r="K15" s="25">
        <v>229715.77290817822</v>
      </c>
      <c r="L15" s="25">
        <v>245263.26224491556</v>
      </c>
      <c r="M15" s="25">
        <v>205317.44668368666</v>
      </c>
      <c r="N15" s="24">
        <v>198200</v>
      </c>
      <c r="O15" s="24">
        <v>220522</v>
      </c>
      <c r="P15" s="24">
        <v>273080</v>
      </c>
      <c r="Q15" s="24">
        <v>269088</v>
      </c>
      <c r="R15" s="24">
        <v>271307</v>
      </c>
      <c r="S15" s="24">
        <v>282636</v>
      </c>
      <c r="T15" s="24">
        <v>290561</v>
      </c>
      <c r="U15" s="24">
        <v>312454</v>
      </c>
      <c r="V15" s="24">
        <v>318420</v>
      </c>
      <c r="W15" s="24">
        <v>215069</v>
      </c>
      <c r="X15" s="24">
        <v>241389</v>
      </c>
      <c r="Y15" s="24">
        <v>213119</v>
      </c>
    </row>
    <row r="16" spans="1:26" ht="12.75">
      <c r="A16" s="21" t="s">
        <v>231</v>
      </c>
      <c r="C16" s="21" t="s">
        <v>219</v>
      </c>
      <c r="E16" s="21" t="s">
        <v>217</v>
      </c>
      <c r="F16" s="24">
        <v>3838</v>
      </c>
      <c r="G16" s="24">
        <v>3675</v>
      </c>
      <c r="H16" s="24">
        <v>2636</v>
      </c>
      <c r="I16" s="24">
        <v>2943</v>
      </c>
      <c r="J16" s="24">
        <v>3177</v>
      </c>
      <c r="K16" s="24">
        <v>3609</v>
      </c>
      <c r="L16" s="24">
        <v>4177</v>
      </c>
      <c r="M16" s="24">
        <v>4283</v>
      </c>
      <c r="N16" s="24">
        <v>4984</v>
      </c>
      <c r="O16" s="24">
        <v>5457</v>
      </c>
      <c r="P16" s="24">
        <v>5084</v>
      </c>
      <c r="Q16" s="24">
        <v>4815</v>
      </c>
      <c r="R16" s="24">
        <v>5438</v>
      </c>
      <c r="S16" s="24">
        <v>4893</v>
      </c>
      <c r="T16" s="24">
        <v>5205</v>
      </c>
      <c r="U16" s="24">
        <v>5303</v>
      </c>
      <c r="V16" s="24">
        <v>4498</v>
      </c>
      <c r="W16" s="24">
        <v>4325</v>
      </c>
      <c r="X16" s="24">
        <v>4291</v>
      </c>
      <c r="Y16" s="24">
        <v>4466</v>
      </c>
      <c r="Z16" s="24"/>
    </row>
    <row r="17" spans="1:25" ht="12.75">
      <c r="A17" s="21" t="s">
        <v>232</v>
      </c>
      <c r="C17" s="21" t="s">
        <v>219</v>
      </c>
      <c r="E17" s="21" t="s">
        <v>217</v>
      </c>
      <c r="F17" s="24">
        <v>889</v>
      </c>
      <c r="G17" s="24">
        <v>2215</v>
      </c>
      <c r="H17" s="24">
        <v>3262</v>
      </c>
      <c r="I17" s="24">
        <v>727</v>
      </c>
      <c r="J17" s="24">
        <v>936</v>
      </c>
      <c r="K17" s="24">
        <v>1267</v>
      </c>
      <c r="L17" s="24">
        <v>1345</v>
      </c>
      <c r="M17" s="24">
        <v>1818</v>
      </c>
      <c r="N17" s="24">
        <v>1887</v>
      </c>
      <c r="O17" s="24">
        <v>1804</v>
      </c>
      <c r="P17" s="24">
        <v>1867</v>
      </c>
      <c r="Q17" s="24">
        <v>2114</v>
      </c>
      <c r="R17" s="24">
        <v>1926</v>
      </c>
      <c r="S17" s="24">
        <v>2707</v>
      </c>
      <c r="T17" s="24">
        <v>4134</v>
      </c>
      <c r="U17" s="24">
        <v>4470</v>
      </c>
      <c r="V17" s="24">
        <v>4863</v>
      </c>
      <c r="W17" s="24">
        <v>4713</v>
      </c>
      <c r="X17" s="24">
        <v>4406</v>
      </c>
      <c r="Y17" s="24">
        <v>5876</v>
      </c>
    </row>
    <row r="19" ht="12.75">
      <c r="A19" s="21" t="s">
        <v>218</v>
      </c>
    </row>
    <row r="20" spans="1:21" ht="12.75">
      <c r="A20" s="21" t="str">
        <f aca="true" t="shared" si="2" ref="A20:A29">A8</f>
        <v>Torsk</v>
      </c>
      <c r="C20" s="21" t="s">
        <v>219</v>
      </c>
      <c r="E20" s="21" t="s">
        <v>220</v>
      </c>
      <c r="U20" s="21">
        <v>14.96</v>
      </c>
    </row>
    <row r="21" spans="1:21" ht="12.75">
      <c r="A21" s="21" t="str">
        <f t="shared" si="2"/>
        <v>Sild</v>
      </c>
      <c r="C21" s="21" t="s">
        <v>219</v>
      </c>
      <c r="E21" s="21" t="s">
        <v>220</v>
      </c>
      <c r="U21" s="21">
        <v>2.11</v>
      </c>
    </row>
    <row r="22" spans="1:21" ht="12.75">
      <c r="A22" s="21" t="str">
        <f t="shared" si="2"/>
        <v>Rødspætte</v>
      </c>
      <c r="C22" s="21" t="s">
        <v>219</v>
      </c>
      <c r="E22" s="21" t="s">
        <v>220</v>
      </c>
      <c r="U22" s="21">
        <v>13.97</v>
      </c>
    </row>
    <row r="23" spans="1:21" ht="12.75">
      <c r="A23" s="21" t="str">
        <f t="shared" si="2"/>
        <v>Makrel</v>
      </c>
      <c r="C23" s="21" t="s">
        <v>219</v>
      </c>
      <c r="E23" s="21" t="s">
        <v>220</v>
      </c>
      <c r="U23" s="21">
        <v>12.82</v>
      </c>
    </row>
    <row r="24" spans="1:22" ht="12.75">
      <c r="A24" s="21" t="str">
        <f t="shared" si="2"/>
        <v>Sperling</v>
      </c>
      <c r="C24" s="21" t="s">
        <v>219</v>
      </c>
      <c r="D24" s="21" t="s">
        <v>295</v>
      </c>
      <c r="E24" s="21" t="s">
        <v>220</v>
      </c>
      <c r="T24" s="21">
        <v>0.73</v>
      </c>
      <c r="U24" s="21">
        <f>(T24+V24)/2</f>
        <v>0.975</v>
      </c>
      <c r="V24" s="21">
        <v>1.22</v>
      </c>
    </row>
    <row r="25" spans="1:21" ht="12.75">
      <c r="A25" s="21" t="str">
        <f t="shared" si="2"/>
        <v>Tobis</v>
      </c>
      <c r="C25" s="21" t="s">
        <v>219</v>
      </c>
      <c r="E25" s="21" t="s">
        <v>220</v>
      </c>
      <c r="U25" s="21">
        <v>0.71</v>
      </c>
    </row>
    <row r="26" spans="1:21" ht="12.75">
      <c r="A26" s="21" t="str">
        <f t="shared" si="2"/>
        <v>Mørksej</v>
      </c>
      <c r="C26" s="21" t="s">
        <v>219</v>
      </c>
      <c r="E26" s="21" t="s">
        <v>220</v>
      </c>
      <c r="U26" s="21">
        <v>5.02</v>
      </c>
    </row>
    <row r="27" spans="1:21" ht="12.75">
      <c r="A27" s="21" t="str">
        <f t="shared" si="2"/>
        <v>Brisling</v>
      </c>
      <c r="C27" s="21" t="s">
        <v>219</v>
      </c>
      <c r="E27" s="21" t="s">
        <v>220</v>
      </c>
      <c r="U27" s="21">
        <v>0.82</v>
      </c>
    </row>
    <row r="28" spans="1:21" ht="12.75">
      <c r="A28" s="21" t="str">
        <f t="shared" si="2"/>
        <v>Jomfruhummer</v>
      </c>
      <c r="C28" s="21" t="s">
        <v>219</v>
      </c>
      <c r="E28" s="21" t="s">
        <v>220</v>
      </c>
      <c r="U28" s="26">
        <v>58.8</v>
      </c>
    </row>
    <row r="29" spans="1:21" ht="12.75">
      <c r="A29" s="21" t="str">
        <f t="shared" si="2"/>
        <v>Grønlandsrejer</v>
      </c>
      <c r="C29" s="21" t="s">
        <v>219</v>
      </c>
      <c r="E29" s="21" t="s">
        <v>220</v>
      </c>
      <c r="U29" s="21">
        <v>15.99</v>
      </c>
    </row>
    <row r="31" ht="12.75">
      <c r="A31" s="21" t="s">
        <v>221</v>
      </c>
    </row>
    <row r="32" spans="1:26" ht="12.75">
      <c r="A32" s="21" t="str">
        <f>A8</f>
        <v>Torsk</v>
      </c>
      <c r="E32" s="21" t="s">
        <v>188</v>
      </c>
      <c r="F32" s="27">
        <f aca="true" t="shared" si="3" ref="F32:Y32">F8*$U20*1000/1000000</f>
        <v>1409.3816</v>
      </c>
      <c r="G32" s="27">
        <f t="shared" si="3"/>
        <v>1136.212</v>
      </c>
      <c r="H32" s="27">
        <f t="shared" si="3"/>
        <v>876.8056000000001</v>
      </c>
      <c r="I32" s="27">
        <f t="shared" si="3"/>
        <v>666.3184</v>
      </c>
      <c r="J32" s="27">
        <f t="shared" si="3"/>
        <v>744.5592000000001</v>
      </c>
      <c r="K32" s="27">
        <f t="shared" si="3"/>
        <v>1018.9256000000001</v>
      </c>
      <c r="L32" s="27">
        <f t="shared" si="3"/>
        <v>1390.6816</v>
      </c>
      <c r="M32" s="27">
        <f t="shared" si="3"/>
        <v>1331.35024</v>
      </c>
      <c r="N32" s="27">
        <f t="shared" si="3"/>
        <v>1267.91984</v>
      </c>
      <c r="O32" s="27">
        <f t="shared" si="3"/>
        <v>1170.78456</v>
      </c>
      <c r="P32" s="27">
        <f t="shared" si="3"/>
        <v>859.3772000000001</v>
      </c>
      <c r="Q32" s="27">
        <f t="shared" si="3"/>
        <v>704.00264</v>
      </c>
      <c r="R32" s="27">
        <f t="shared" si="3"/>
        <v>549.82488</v>
      </c>
      <c r="S32" s="27">
        <f t="shared" si="3"/>
        <v>453.64704000000006</v>
      </c>
      <c r="T32" s="27">
        <f t="shared" si="3"/>
        <v>381.65952</v>
      </c>
      <c r="U32" s="27">
        <f t="shared" si="3"/>
        <v>420.54056</v>
      </c>
      <c r="V32" s="27">
        <f t="shared" si="3"/>
        <v>447.69296</v>
      </c>
      <c r="W32" s="27">
        <f t="shared" si="3"/>
        <v>406.13408</v>
      </c>
      <c r="X32" s="27">
        <f t="shared" si="3"/>
        <v>359.08488</v>
      </c>
      <c r="Y32" s="27">
        <f t="shared" si="3"/>
        <v>386.91048000000006</v>
      </c>
      <c r="Z32" s="27"/>
    </row>
    <row r="33" spans="1:25" ht="12.75">
      <c r="A33" s="21" t="str">
        <f>A9</f>
        <v>Sild</v>
      </c>
      <c r="E33" s="21" t="s">
        <v>188</v>
      </c>
      <c r="F33" s="27">
        <f aca="true" t="shared" si="4" ref="F33:Y33">F9*$U21*1000/1000000</f>
        <v>292.53039999999993</v>
      </c>
      <c r="G33" s="27">
        <f t="shared" si="4"/>
        <v>272.9918</v>
      </c>
      <c r="H33" s="27">
        <f t="shared" si="4"/>
        <v>304.0721</v>
      </c>
      <c r="I33" s="27">
        <f t="shared" si="4"/>
        <v>327.52475</v>
      </c>
      <c r="J33" s="27">
        <f t="shared" si="4"/>
        <v>348.2766</v>
      </c>
      <c r="K33" s="27">
        <f t="shared" si="4"/>
        <v>313.3983</v>
      </c>
      <c r="L33" s="27">
        <f t="shared" si="4"/>
        <v>271.1772</v>
      </c>
      <c r="M33" s="27">
        <f t="shared" si="4"/>
        <v>352.430479144385</v>
      </c>
      <c r="N33" s="27">
        <f t="shared" si="4"/>
        <v>373.7865</v>
      </c>
      <c r="O33" s="27">
        <f t="shared" si="4"/>
        <v>387.19344</v>
      </c>
      <c r="P33" s="27">
        <f t="shared" si="4"/>
        <v>391.1096</v>
      </c>
      <c r="Q33" s="27">
        <f t="shared" si="4"/>
        <v>352.14000999999996</v>
      </c>
      <c r="R33" s="27">
        <f t="shared" si="4"/>
        <v>340.68693</v>
      </c>
      <c r="S33" s="27">
        <f t="shared" si="4"/>
        <v>395.83388999999994</v>
      </c>
      <c r="T33" s="27">
        <f t="shared" si="4"/>
        <v>412.3995</v>
      </c>
      <c r="U33" s="27">
        <f t="shared" si="4"/>
        <v>509.87938999999994</v>
      </c>
      <c r="V33" s="27">
        <f t="shared" si="4"/>
        <v>422.34604</v>
      </c>
      <c r="W33" s="27">
        <f t="shared" si="4"/>
        <v>332.16463999999996</v>
      </c>
      <c r="X33" s="27">
        <f t="shared" si="4"/>
        <v>255.36908</v>
      </c>
      <c r="Y33" s="27">
        <f t="shared" si="4"/>
        <v>222.59656</v>
      </c>
    </row>
    <row r="34" spans="1:25" ht="12.75">
      <c r="A34" s="21" t="str">
        <f>A10</f>
        <v>Rødspætte</v>
      </c>
      <c r="E34" s="21" t="s">
        <v>188</v>
      </c>
      <c r="F34" s="27">
        <f aca="true" t="shared" si="5" ref="F34:Y34">F10*$U22*1000/1000000</f>
        <v>676.7068</v>
      </c>
      <c r="G34" s="27">
        <f t="shared" si="5"/>
        <v>643.1788</v>
      </c>
      <c r="H34" s="27">
        <f t="shared" si="5"/>
        <v>666.06166</v>
      </c>
      <c r="I34" s="27">
        <f t="shared" si="5"/>
        <v>644.6177100000001</v>
      </c>
      <c r="J34" s="27">
        <f t="shared" si="5"/>
        <v>623.17376</v>
      </c>
      <c r="K34" s="27">
        <f t="shared" si="5"/>
        <v>518.2031800000001</v>
      </c>
      <c r="L34" s="27">
        <f t="shared" si="5"/>
        <v>413.23260000000005</v>
      </c>
      <c r="M34" s="27">
        <f t="shared" si="5"/>
        <v>401.35810000000004</v>
      </c>
      <c r="N34" s="27">
        <f t="shared" si="5"/>
        <v>428.73930000000007</v>
      </c>
      <c r="O34" s="27">
        <f t="shared" si="5"/>
        <v>469.9508000000001</v>
      </c>
      <c r="P34" s="27">
        <f t="shared" si="5"/>
        <v>457.5175</v>
      </c>
      <c r="Q34" s="27">
        <f t="shared" si="5"/>
        <v>386.5499</v>
      </c>
      <c r="R34" s="27">
        <f t="shared" si="5"/>
        <v>331.49413</v>
      </c>
      <c r="S34" s="27">
        <f t="shared" si="5"/>
        <v>416.96259</v>
      </c>
      <c r="T34" s="27">
        <f t="shared" si="5"/>
        <v>326.01789</v>
      </c>
      <c r="U34" s="27">
        <f t="shared" si="5"/>
        <v>304.26660000000004</v>
      </c>
      <c r="V34" s="27">
        <f t="shared" si="5"/>
        <v>301.0535</v>
      </c>
      <c r="W34" s="27">
        <f t="shared" si="5"/>
        <v>293.85895</v>
      </c>
      <c r="X34" s="27">
        <f t="shared" si="5"/>
        <v>296.56913</v>
      </c>
      <c r="Y34" s="27">
        <f t="shared" si="5"/>
        <v>308.22011</v>
      </c>
    </row>
    <row r="35" spans="1:25" ht="12.75">
      <c r="A35" s="21" t="str">
        <f>A11</f>
        <v>Makrel</v>
      </c>
      <c r="E35" s="21" t="s">
        <v>188</v>
      </c>
      <c r="F35" s="27">
        <f aca="true" t="shared" si="6" ref="F35:Y35">F11*$U23*1000/1000000</f>
        <v>308.514582</v>
      </c>
      <c r="G35" s="27">
        <f t="shared" si="6"/>
        <v>369.537782</v>
      </c>
      <c r="H35" s="27">
        <f t="shared" si="6"/>
        <v>395.177782</v>
      </c>
      <c r="I35" s="27">
        <f t="shared" si="6"/>
        <v>423.958682</v>
      </c>
      <c r="J35" s="27">
        <f t="shared" si="6"/>
        <v>452.739582</v>
      </c>
      <c r="K35" s="27">
        <f t="shared" si="6"/>
        <v>391.427932</v>
      </c>
      <c r="L35" s="27">
        <f t="shared" si="6"/>
        <v>330.116282</v>
      </c>
      <c r="M35" s="27">
        <f t="shared" si="6"/>
        <v>342.74398199999996</v>
      </c>
      <c r="N35" s="27">
        <f t="shared" si="6"/>
        <v>353.705082</v>
      </c>
      <c r="O35" s="27">
        <f t="shared" si="6"/>
        <v>353.705082</v>
      </c>
      <c r="P35" s="27">
        <f t="shared" si="6"/>
        <v>400.04810000000003</v>
      </c>
      <c r="Q35" s="27">
        <f t="shared" si="6"/>
        <v>415.99618</v>
      </c>
      <c r="R35" s="27">
        <f t="shared" si="6"/>
        <v>424.70096</v>
      </c>
      <c r="S35" s="27">
        <f t="shared" si="6"/>
        <v>364.06236</v>
      </c>
      <c r="T35" s="27">
        <f t="shared" si="6"/>
        <v>353.3192</v>
      </c>
      <c r="U35" s="27">
        <f t="shared" si="6"/>
        <v>296.51378</v>
      </c>
      <c r="V35" s="27">
        <f t="shared" si="6"/>
        <v>310.1799</v>
      </c>
      <c r="W35" s="27">
        <f t="shared" si="6"/>
        <v>320.48718</v>
      </c>
      <c r="X35" s="27">
        <f t="shared" si="6"/>
        <v>320.5</v>
      </c>
      <c r="Y35" s="27">
        <f t="shared" si="6"/>
        <v>377.08748</v>
      </c>
    </row>
    <row r="36" spans="1:25" ht="12.75">
      <c r="A36" s="21" t="str">
        <f aca="true" t="shared" si="7" ref="A36:A41">A12</f>
        <v>Sperling</v>
      </c>
      <c r="E36" s="21" t="s">
        <v>188</v>
      </c>
      <c r="F36" s="27">
        <f aca="true" t="shared" si="8" ref="F36:Y36">F12*$U24*1000/1000000</f>
        <v>166.52062855113635</v>
      </c>
      <c r="G36" s="27">
        <f t="shared" si="8"/>
        <v>166.52062855113635</v>
      </c>
      <c r="H36" s="27">
        <f t="shared" si="8"/>
        <v>166.52062855113635</v>
      </c>
      <c r="I36" s="27">
        <f t="shared" si="8"/>
        <v>166.52062855113635</v>
      </c>
      <c r="J36" s="27">
        <f t="shared" si="8"/>
        <v>175.5</v>
      </c>
      <c r="K36" s="27">
        <f t="shared" si="8"/>
        <v>149.8685656960227</v>
      </c>
      <c r="L36" s="27">
        <f t="shared" si="8"/>
        <v>183.17269140624998</v>
      </c>
      <c r="M36" s="27">
        <f t="shared" si="8"/>
        <v>183.17269140624998</v>
      </c>
      <c r="N36" s="27">
        <f t="shared" si="8"/>
        <v>175.344</v>
      </c>
      <c r="O36" s="27">
        <f t="shared" si="8"/>
        <v>175.344</v>
      </c>
      <c r="P36" s="27">
        <f t="shared" si="8"/>
        <v>221.6565</v>
      </c>
      <c r="Q36" s="27">
        <f t="shared" si="8"/>
        <v>240.34725</v>
      </c>
      <c r="R36" s="27">
        <f t="shared" si="8"/>
        <v>214.8315</v>
      </c>
      <c r="S36" s="27">
        <f t="shared" si="8"/>
        <v>214.8315</v>
      </c>
      <c r="T36" s="27">
        <f t="shared" si="8"/>
        <v>214.8315</v>
      </c>
      <c r="U36" s="27">
        <f t="shared" si="8"/>
        <v>139.9090875</v>
      </c>
      <c r="V36" s="27">
        <f t="shared" si="8"/>
        <v>106.667925</v>
      </c>
      <c r="W36" s="27">
        <f t="shared" si="8"/>
        <v>73.4267625</v>
      </c>
      <c r="X36" s="27">
        <f t="shared" si="8"/>
        <v>40.1856</v>
      </c>
      <c r="Y36" s="27">
        <f t="shared" si="8"/>
        <v>26.4966</v>
      </c>
    </row>
    <row r="37" spans="1:25" ht="12.75">
      <c r="A37" s="21" t="str">
        <f t="shared" si="7"/>
        <v>Tobis</v>
      </c>
      <c r="E37" s="21" t="s">
        <v>188</v>
      </c>
      <c r="F37" s="27">
        <f aca="true" t="shared" si="9" ref="F37:Y37">F13*$U25*1000/1000000</f>
        <v>745.6987999999999</v>
      </c>
      <c r="G37" s="27">
        <f t="shared" si="9"/>
        <v>745.6987999999999</v>
      </c>
      <c r="H37" s="27">
        <f t="shared" si="9"/>
        <v>745.6987999999999</v>
      </c>
      <c r="I37" s="27">
        <f t="shared" si="9"/>
        <v>745.6987999999999</v>
      </c>
      <c r="J37" s="27">
        <f t="shared" si="9"/>
        <v>745.6987999999999</v>
      </c>
      <c r="K37" s="27">
        <f t="shared" si="9"/>
        <v>745.6987999999999</v>
      </c>
      <c r="L37" s="27">
        <f t="shared" si="9"/>
        <v>745.6987999999999</v>
      </c>
      <c r="M37" s="27">
        <f t="shared" si="9"/>
        <v>745.6987999999999</v>
      </c>
      <c r="N37" s="27">
        <f t="shared" si="9"/>
        <v>745.6987999999999</v>
      </c>
      <c r="O37" s="27">
        <f t="shared" si="9"/>
        <v>745.6987999999999</v>
      </c>
      <c r="P37" s="27">
        <f t="shared" si="9"/>
        <v>750.825</v>
      </c>
      <c r="Q37" s="27">
        <f t="shared" si="9"/>
        <v>750.825</v>
      </c>
      <c r="R37" s="27">
        <f t="shared" si="9"/>
        <v>679.16257</v>
      </c>
      <c r="S37" s="27">
        <f t="shared" si="9"/>
        <v>666.34707</v>
      </c>
      <c r="T37" s="27">
        <f t="shared" si="9"/>
        <v>604.86462</v>
      </c>
      <c r="U37" s="27">
        <f t="shared" si="9"/>
        <v>535.37337</v>
      </c>
      <c r="V37" s="27">
        <f t="shared" si="9"/>
        <v>455.2621175</v>
      </c>
      <c r="W37" s="27">
        <f t="shared" si="9"/>
        <v>375.150865</v>
      </c>
      <c r="X37" s="27">
        <f t="shared" si="9"/>
        <v>295.0396125</v>
      </c>
      <c r="Y37" s="27">
        <f t="shared" si="9"/>
        <v>214.92836</v>
      </c>
    </row>
    <row r="38" spans="1:25" ht="12.75">
      <c r="A38" s="21" t="str">
        <f t="shared" si="7"/>
        <v>Mørksej</v>
      </c>
      <c r="E38" s="21" t="s">
        <v>188</v>
      </c>
      <c r="F38" s="27">
        <f aca="true" t="shared" si="10" ref="F38:Y38">F14*$U26*1000/1000000</f>
        <v>29.668199999999995</v>
      </c>
      <c r="G38" s="27">
        <f t="shared" si="10"/>
        <v>30.722399999999997</v>
      </c>
      <c r="H38" s="27">
        <f t="shared" si="10"/>
        <v>25.451399999999996</v>
      </c>
      <c r="I38" s="27">
        <f t="shared" si="10"/>
        <v>23.393199999999997</v>
      </c>
      <c r="J38" s="27">
        <f t="shared" si="10"/>
        <v>21.335</v>
      </c>
      <c r="K38" s="27">
        <f t="shared" si="10"/>
        <v>22.213499999999996</v>
      </c>
      <c r="L38" s="27">
        <f t="shared" si="10"/>
        <v>23.091999999999995</v>
      </c>
      <c r="M38" s="27">
        <f t="shared" si="10"/>
        <v>23.945399999999996</v>
      </c>
      <c r="N38" s="27">
        <f t="shared" si="10"/>
        <v>20.180399999999995</v>
      </c>
      <c r="O38" s="27">
        <f t="shared" si="10"/>
        <v>22.891199999999998</v>
      </c>
      <c r="P38" s="27">
        <f t="shared" si="10"/>
        <v>17.670399999999997</v>
      </c>
      <c r="Q38" s="27">
        <f t="shared" si="10"/>
        <v>18.122199999999996</v>
      </c>
      <c r="R38" s="27">
        <f t="shared" si="10"/>
        <v>28.10196</v>
      </c>
      <c r="S38" s="27">
        <f t="shared" si="10"/>
        <v>34.34684</v>
      </c>
      <c r="T38" s="27">
        <f t="shared" si="10"/>
        <v>39.55257999999999</v>
      </c>
      <c r="U38" s="27">
        <f t="shared" si="10"/>
        <v>30.18526</v>
      </c>
      <c r="V38" s="27">
        <f t="shared" si="10"/>
        <v>25.657219999999995</v>
      </c>
      <c r="W38" s="27">
        <f t="shared" si="10"/>
        <v>25.657219999999995</v>
      </c>
      <c r="X38" s="27">
        <f t="shared" si="10"/>
        <v>28.292719999999996</v>
      </c>
      <c r="Y38" s="27">
        <f t="shared" si="10"/>
        <v>26.21444</v>
      </c>
    </row>
    <row r="39" spans="1:25" ht="12.75">
      <c r="A39" s="21" t="str">
        <f t="shared" si="7"/>
        <v>Brisling</v>
      </c>
      <c r="E39" s="21" t="s">
        <v>188</v>
      </c>
      <c r="F39" s="27">
        <f aca="true" t="shared" si="11" ref="F39:Y39">F15*$U27*1000/1000000</f>
        <v>89.27837113704506</v>
      </c>
      <c r="G39" s="27">
        <f t="shared" si="11"/>
        <v>84.53822563622846</v>
      </c>
      <c r="H39" s="27">
        <f t="shared" si="11"/>
        <v>83.76332563622846</v>
      </c>
      <c r="I39" s="27">
        <f t="shared" si="11"/>
        <v>89.96252563622846</v>
      </c>
      <c r="J39" s="27">
        <f t="shared" si="11"/>
        <v>159.77409677327356</v>
      </c>
      <c r="K39" s="27">
        <f t="shared" si="11"/>
        <v>188.36693378470613</v>
      </c>
      <c r="L39" s="27">
        <f t="shared" si="11"/>
        <v>201.11587504083076</v>
      </c>
      <c r="M39" s="27">
        <f t="shared" si="11"/>
        <v>168.36030628062304</v>
      </c>
      <c r="N39" s="27">
        <f t="shared" si="11"/>
        <v>162.524</v>
      </c>
      <c r="O39" s="27">
        <f t="shared" si="11"/>
        <v>180.82803999999996</v>
      </c>
      <c r="P39" s="27">
        <f t="shared" si="11"/>
        <v>223.92559999999997</v>
      </c>
      <c r="Q39" s="27">
        <f t="shared" si="11"/>
        <v>220.65215999999998</v>
      </c>
      <c r="R39" s="27">
        <f t="shared" si="11"/>
        <v>222.47174</v>
      </c>
      <c r="S39" s="27">
        <f t="shared" si="11"/>
        <v>231.76152</v>
      </c>
      <c r="T39" s="27">
        <f t="shared" si="11"/>
        <v>238.26002</v>
      </c>
      <c r="U39" s="27">
        <f t="shared" si="11"/>
        <v>256.21228</v>
      </c>
      <c r="V39" s="27">
        <f t="shared" si="11"/>
        <v>261.1044</v>
      </c>
      <c r="W39" s="27">
        <f t="shared" si="11"/>
        <v>176.35658</v>
      </c>
      <c r="X39" s="27">
        <f t="shared" si="11"/>
        <v>197.93897999999996</v>
      </c>
      <c r="Y39" s="27">
        <f t="shared" si="11"/>
        <v>174.75758</v>
      </c>
    </row>
    <row r="40" spans="1:25" ht="12.75">
      <c r="A40" s="21" t="str">
        <f t="shared" si="7"/>
        <v>Jomfruhummer</v>
      </c>
      <c r="E40" s="21" t="s">
        <v>188</v>
      </c>
      <c r="F40" s="27">
        <f aca="true" t="shared" si="12" ref="F40:Y40">F16*$U28*1000/1000000</f>
        <v>225.6744</v>
      </c>
      <c r="G40" s="27">
        <f t="shared" si="12"/>
        <v>216.09</v>
      </c>
      <c r="H40" s="27">
        <f t="shared" si="12"/>
        <v>154.9968</v>
      </c>
      <c r="I40" s="27">
        <f t="shared" si="12"/>
        <v>173.0484</v>
      </c>
      <c r="J40" s="27">
        <f t="shared" si="12"/>
        <v>186.80759999999998</v>
      </c>
      <c r="K40" s="27">
        <f t="shared" si="12"/>
        <v>212.20919999999998</v>
      </c>
      <c r="L40" s="27">
        <f t="shared" si="12"/>
        <v>245.60759999999996</v>
      </c>
      <c r="M40" s="27">
        <f t="shared" si="12"/>
        <v>251.8404</v>
      </c>
      <c r="N40" s="27">
        <f t="shared" si="12"/>
        <v>293.0592</v>
      </c>
      <c r="O40" s="27">
        <f t="shared" si="12"/>
        <v>320.8716</v>
      </c>
      <c r="P40" s="27">
        <f t="shared" si="12"/>
        <v>298.9392</v>
      </c>
      <c r="Q40" s="27">
        <f t="shared" si="12"/>
        <v>283.122</v>
      </c>
      <c r="R40" s="27">
        <f t="shared" si="12"/>
        <v>319.7543999999999</v>
      </c>
      <c r="S40" s="27">
        <f t="shared" si="12"/>
        <v>287.7083999999999</v>
      </c>
      <c r="T40" s="27">
        <f t="shared" si="12"/>
        <v>306.054</v>
      </c>
      <c r="U40" s="27">
        <f t="shared" si="12"/>
        <v>311.81639999999993</v>
      </c>
      <c r="V40" s="27">
        <f t="shared" si="12"/>
        <v>264.4824</v>
      </c>
      <c r="W40" s="27">
        <f t="shared" si="12"/>
        <v>254.31</v>
      </c>
      <c r="X40" s="27">
        <f t="shared" si="12"/>
        <v>252.3108</v>
      </c>
      <c r="Y40" s="27">
        <f t="shared" si="12"/>
        <v>262.6008</v>
      </c>
    </row>
    <row r="41" spans="1:25" ht="12.75">
      <c r="A41" s="21" t="str">
        <f t="shared" si="7"/>
        <v>Grønlandsrejer</v>
      </c>
      <c r="E41" s="21" t="s">
        <v>188</v>
      </c>
      <c r="F41" s="27">
        <f aca="true" t="shared" si="13" ref="F41:Y41">F17*$U29*1000/1000000</f>
        <v>14.21511</v>
      </c>
      <c r="G41" s="27">
        <f t="shared" si="13"/>
        <v>35.41785</v>
      </c>
      <c r="H41" s="27">
        <f t="shared" si="13"/>
        <v>52.15938</v>
      </c>
      <c r="I41" s="27">
        <f t="shared" si="13"/>
        <v>11.62473</v>
      </c>
      <c r="J41" s="27">
        <f t="shared" si="13"/>
        <v>14.96664</v>
      </c>
      <c r="K41" s="27">
        <f t="shared" si="13"/>
        <v>20.25933</v>
      </c>
      <c r="L41" s="27">
        <f t="shared" si="13"/>
        <v>21.50655</v>
      </c>
      <c r="M41" s="27">
        <f t="shared" si="13"/>
        <v>29.06982</v>
      </c>
      <c r="N41" s="27">
        <f t="shared" si="13"/>
        <v>30.17313</v>
      </c>
      <c r="O41" s="27">
        <f t="shared" si="13"/>
        <v>28.84596</v>
      </c>
      <c r="P41" s="27">
        <f t="shared" si="13"/>
        <v>29.85333</v>
      </c>
      <c r="Q41" s="27">
        <f t="shared" si="13"/>
        <v>33.80286</v>
      </c>
      <c r="R41" s="27">
        <f t="shared" si="13"/>
        <v>30.79674</v>
      </c>
      <c r="S41" s="27">
        <f t="shared" si="13"/>
        <v>43.28493</v>
      </c>
      <c r="T41" s="27">
        <f t="shared" si="13"/>
        <v>66.10266</v>
      </c>
      <c r="U41" s="27">
        <f t="shared" si="13"/>
        <v>71.4753</v>
      </c>
      <c r="V41" s="27">
        <f t="shared" si="13"/>
        <v>77.75937</v>
      </c>
      <c r="W41" s="27">
        <f t="shared" si="13"/>
        <v>75.36087</v>
      </c>
      <c r="X41" s="27">
        <f t="shared" si="13"/>
        <v>70.45194</v>
      </c>
      <c r="Y41" s="27">
        <f t="shared" si="13"/>
        <v>93.95724</v>
      </c>
    </row>
    <row r="42" spans="6:25" ht="12.75">
      <c r="F42" s="27"/>
      <c r="G42" s="27"/>
      <c r="H42" s="27"/>
      <c r="I42" s="27"/>
      <c r="J42" s="27"/>
      <c r="K42" s="27"/>
      <c r="L42" s="27"/>
      <c r="M42" s="27"/>
      <c r="N42" s="27"/>
      <c r="O42" s="27"/>
      <c r="P42" s="27"/>
      <c r="Q42" s="27"/>
      <c r="R42" s="27"/>
      <c r="S42" s="27"/>
      <c r="T42" s="27"/>
      <c r="U42" s="27"/>
      <c r="V42" s="27"/>
      <c r="W42" s="27"/>
      <c r="X42" s="27"/>
      <c r="Y42" s="27"/>
    </row>
    <row r="43" ht="12.75">
      <c r="A43" s="21" t="s">
        <v>222</v>
      </c>
    </row>
    <row r="44" spans="1:26" ht="12.75">
      <c r="A44" s="21" t="str">
        <f>A8</f>
        <v>Torsk</v>
      </c>
      <c r="D44" s="21" t="s">
        <v>241</v>
      </c>
      <c r="E44" s="21" t="s">
        <v>188</v>
      </c>
      <c r="F44" s="24">
        <f aca="true" t="shared" si="14" ref="F44:Y44">0.025*F32/(0.03-0.015)</f>
        <v>2348.9693333333335</v>
      </c>
      <c r="G44" s="24">
        <f t="shared" si="14"/>
        <v>1893.6866666666667</v>
      </c>
      <c r="H44" s="24">
        <f t="shared" si="14"/>
        <v>1461.342666666667</v>
      </c>
      <c r="I44" s="24">
        <f t="shared" si="14"/>
        <v>1110.5306666666665</v>
      </c>
      <c r="J44" s="24">
        <f t="shared" si="14"/>
        <v>1240.9320000000005</v>
      </c>
      <c r="K44" s="24">
        <f t="shared" si="14"/>
        <v>1698.2093333333337</v>
      </c>
      <c r="L44" s="24">
        <f t="shared" si="14"/>
        <v>2317.802666666667</v>
      </c>
      <c r="M44" s="24">
        <f t="shared" si="14"/>
        <v>2218.917066666667</v>
      </c>
      <c r="N44" s="24">
        <f t="shared" si="14"/>
        <v>2113.199733333334</v>
      </c>
      <c r="O44" s="24">
        <f t="shared" si="14"/>
        <v>1951.3076000000003</v>
      </c>
      <c r="P44" s="24">
        <f t="shared" si="14"/>
        <v>1432.2953333333337</v>
      </c>
      <c r="Q44" s="24">
        <f t="shared" si="14"/>
        <v>1173.3377333333335</v>
      </c>
      <c r="R44" s="24">
        <f t="shared" si="14"/>
        <v>916.3748</v>
      </c>
      <c r="S44" s="24">
        <f t="shared" si="14"/>
        <v>756.0784000000002</v>
      </c>
      <c r="T44" s="24">
        <f t="shared" si="14"/>
        <v>636.0992</v>
      </c>
      <c r="U44" s="24">
        <f t="shared" si="14"/>
        <v>700.9009333333335</v>
      </c>
      <c r="V44" s="24">
        <f t="shared" si="14"/>
        <v>746.1549333333335</v>
      </c>
      <c r="W44" s="24">
        <f t="shared" si="14"/>
        <v>676.8901333333333</v>
      </c>
      <c r="X44" s="24">
        <f t="shared" si="14"/>
        <v>598.4748</v>
      </c>
      <c r="Y44" s="24">
        <f t="shared" si="14"/>
        <v>644.8508000000002</v>
      </c>
      <c r="Z44" s="24"/>
    </row>
    <row r="45" spans="1:25" ht="12.75">
      <c r="A45" s="21" t="str">
        <f>A9</f>
        <v>Sild</v>
      </c>
      <c r="D45" s="21" t="s">
        <v>241</v>
      </c>
      <c r="E45" s="21" t="s">
        <v>188</v>
      </c>
      <c r="F45" s="24">
        <f aca="true" t="shared" si="15" ref="F45:U45">0.025*F33/(0.03-0.015)</f>
        <v>487.5506666666666</v>
      </c>
      <c r="G45" s="24">
        <f t="shared" si="15"/>
        <v>454.9863333333334</v>
      </c>
      <c r="H45" s="24">
        <f t="shared" si="15"/>
        <v>506.78683333333333</v>
      </c>
      <c r="I45" s="24">
        <f t="shared" si="15"/>
        <v>545.8745833333332</v>
      </c>
      <c r="J45" s="24">
        <f t="shared" si="15"/>
        <v>580.461</v>
      </c>
      <c r="K45" s="24">
        <f t="shared" si="15"/>
        <v>522.3305</v>
      </c>
      <c r="L45" s="24">
        <f t="shared" si="15"/>
        <v>451.9620000000001</v>
      </c>
      <c r="M45" s="24">
        <f t="shared" si="15"/>
        <v>587.3841319073083</v>
      </c>
      <c r="N45" s="24">
        <f t="shared" si="15"/>
        <v>622.9775000000001</v>
      </c>
      <c r="O45" s="24">
        <f t="shared" si="15"/>
        <v>645.3224000000001</v>
      </c>
      <c r="P45" s="24">
        <f t="shared" si="15"/>
        <v>651.8493333333334</v>
      </c>
      <c r="Q45" s="24">
        <f t="shared" si="15"/>
        <v>586.9000166666666</v>
      </c>
      <c r="R45" s="24">
        <f t="shared" si="15"/>
        <v>567.8115500000001</v>
      </c>
      <c r="S45" s="24">
        <f t="shared" si="15"/>
        <v>659.7231499999999</v>
      </c>
      <c r="T45" s="24">
        <f t="shared" si="15"/>
        <v>687.3325</v>
      </c>
      <c r="U45" s="24">
        <f t="shared" si="15"/>
        <v>849.7989833333334</v>
      </c>
      <c r="V45" s="24">
        <f aca="true" t="shared" si="16" ref="V45:Y52">0.025*V33/(0.03-0.015)</f>
        <v>703.9100666666668</v>
      </c>
      <c r="W45" s="24">
        <f t="shared" si="16"/>
        <v>553.6077333333333</v>
      </c>
      <c r="X45" s="24">
        <f t="shared" si="16"/>
        <v>425.61513333333335</v>
      </c>
      <c r="Y45" s="24">
        <f t="shared" si="16"/>
        <v>370.99426666666676</v>
      </c>
    </row>
    <row r="46" spans="1:25" ht="12.75">
      <c r="A46" s="21" t="str">
        <f>A10</f>
        <v>Rødspætte</v>
      </c>
      <c r="D46" s="21" t="s">
        <v>241</v>
      </c>
      <c r="E46" s="21" t="s">
        <v>188</v>
      </c>
      <c r="F46" s="24">
        <f aca="true" t="shared" si="17" ref="F46:U46">0.025*F34/(0.03-0.015)</f>
        <v>1127.8446666666669</v>
      </c>
      <c r="G46" s="24">
        <f t="shared" si="17"/>
        <v>1071.9646666666667</v>
      </c>
      <c r="H46" s="24">
        <f t="shared" si="17"/>
        <v>1110.1027666666666</v>
      </c>
      <c r="I46" s="24">
        <f t="shared" si="17"/>
        <v>1074.3628500000002</v>
      </c>
      <c r="J46" s="24">
        <f t="shared" si="17"/>
        <v>1038.6229333333333</v>
      </c>
      <c r="K46" s="24">
        <f t="shared" si="17"/>
        <v>863.6719666666669</v>
      </c>
      <c r="L46" s="24">
        <f t="shared" si="17"/>
        <v>688.7210000000001</v>
      </c>
      <c r="M46" s="24">
        <f t="shared" si="17"/>
        <v>668.9301666666668</v>
      </c>
      <c r="N46" s="24">
        <f t="shared" si="17"/>
        <v>714.5655000000002</v>
      </c>
      <c r="O46" s="24">
        <f t="shared" si="17"/>
        <v>783.2513333333335</v>
      </c>
      <c r="P46" s="24">
        <f t="shared" si="17"/>
        <v>762.5291666666667</v>
      </c>
      <c r="Q46" s="24">
        <f t="shared" si="17"/>
        <v>644.2498333333333</v>
      </c>
      <c r="R46" s="24">
        <f t="shared" si="17"/>
        <v>552.4902166666667</v>
      </c>
      <c r="S46" s="24">
        <f t="shared" si="17"/>
        <v>694.93765</v>
      </c>
      <c r="T46" s="24">
        <f t="shared" si="17"/>
        <v>543.3631500000001</v>
      </c>
      <c r="U46" s="24">
        <f t="shared" si="17"/>
        <v>507.1110000000001</v>
      </c>
      <c r="V46" s="24">
        <f t="shared" si="16"/>
        <v>501.7558333333334</v>
      </c>
      <c r="W46" s="24">
        <f t="shared" si="16"/>
        <v>489.7649166666667</v>
      </c>
      <c r="X46" s="24">
        <f t="shared" si="16"/>
        <v>494.2818833333333</v>
      </c>
      <c r="Y46" s="24">
        <f t="shared" si="16"/>
        <v>513.7001833333334</v>
      </c>
    </row>
    <row r="47" spans="1:25" ht="12.75">
      <c r="A47" s="21" t="str">
        <f>A11</f>
        <v>Makrel</v>
      </c>
      <c r="D47" s="21" t="s">
        <v>241</v>
      </c>
      <c r="E47" s="21" t="s">
        <v>188</v>
      </c>
      <c r="F47" s="24">
        <f aca="true" t="shared" si="18" ref="F47:U47">0.025*F35/(0.03-0.015)</f>
        <v>514.1909700000001</v>
      </c>
      <c r="G47" s="24">
        <f t="shared" si="18"/>
        <v>615.8963033333334</v>
      </c>
      <c r="H47" s="24">
        <f t="shared" si="18"/>
        <v>658.6296366666668</v>
      </c>
      <c r="I47" s="24">
        <f t="shared" si="18"/>
        <v>706.5978033333334</v>
      </c>
      <c r="J47" s="24">
        <f t="shared" si="18"/>
        <v>754.5659700000001</v>
      </c>
      <c r="K47" s="24">
        <f t="shared" si="18"/>
        <v>652.3798866666667</v>
      </c>
      <c r="L47" s="24">
        <f t="shared" si="18"/>
        <v>550.1938033333334</v>
      </c>
      <c r="M47" s="24">
        <f t="shared" si="18"/>
        <v>571.23997</v>
      </c>
      <c r="N47" s="24">
        <f t="shared" si="18"/>
        <v>589.5084700000001</v>
      </c>
      <c r="O47" s="24">
        <f t="shared" si="18"/>
        <v>589.5084700000001</v>
      </c>
      <c r="P47" s="24">
        <f t="shared" si="18"/>
        <v>666.7468333333335</v>
      </c>
      <c r="Q47" s="24">
        <f t="shared" si="18"/>
        <v>693.3269666666666</v>
      </c>
      <c r="R47" s="24">
        <f t="shared" si="18"/>
        <v>707.8349333333334</v>
      </c>
      <c r="S47" s="24">
        <f t="shared" si="18"/>
        <v>606.7706000000001</v>
      </c>
      <c r="T47" s="24">
        <f t="shared" si="18"/>
        <v>588.8653333333334</v>
      </c>
      <c r="U47" s="24">
        <f t="shared" si="18"/>
        <v>494.18963333333335</v>
      </c>
      <c r="V47" s="24">
        <f t="shared" si="16"/>
        <v>516.9665</v>
      </c>
      <c r="W47" s="24">
        <f t="shared" si="16"/>
        <v>534.1453</v>
      </c>
      <c r="X47" s="24">
        <f t="shared" si="16"/>
        <v>534.1666666666667</v>
      </c>
      <c r="Y47" s="24">
        <f t="shared" si="16"/>
        <v>628.4791333333335</v>
      </c>
    </row>
    <row r="48" spans="1:25" ht="12.75">
      <c r="A48" s="21" t="str">
        <f aca="true" t="shared" si="19" ref="A48:A53">A12</f>
        <v>Sperling</v>
      </c>
      <c r="D48" s="21" t="s">
        <v>241</v>
      </c>
      <c r="E48" s="21" t="s">
        <v>188</v>
      </c>
      <c r="F48" s="24">
        <f aca="true" t="shared" si="20" ref="F48:U48">0.025*F36/(0.03-0.015)</f>
        <v>277.53438091856066</v>
      </c>
      <c r="G48" s="24">
        <f t="shared" si="20"/>
        <v>277.53438091856066</v>
      </c>
      <c r="H48" s="24">
        <f t="shared" si="20"/>
        <v>277.53438091856066</v>
      </c>
      <c r="I48" s="24">
        <f t="shared" si="20"/>
        <v>277.53438091856066</v>
      </c>
      <c r="J48" s="24">
        <f t="shared" si="20"/>
        <v>292.5</v>
      </c>
      <c r="K48" s="24">
        <f t="shared" si="20"/>
        <v>249.78094282670452</v>
      </c>
      <c r="L48" s="24">
        <f t="shared" si="20"/>
        <v>305.2878190104166</v>
      </c>
      <c r="M48" s="24">
        <f t="shared" si="20"/>
        <v>305.2878190104166</v>
      </c>
      <c r="N48" s="24">
        <f t="shared" si="20"/>
        <v>292.24</v>
      </c>
      <c r="O48" s="24">
        <f t="shared" si="20"/>
        <v>292.24</v>
      </c>
      <c r="P48" s="24">
        <f t="shared" si="20"/>
        <v>369.4275</v>
      </c>
      <c r="Q48" s="24">
        <f t="shared" si="20"/>
        <v>400.57875000000007</v>
      </c>
      <c r="R48" s="24">
        <f t="shared" si="20"/>
        <v>358.05250000000007</v>
      </c>
      <c r="S48" s="24">
        <f t="shared" si="20"/>
        <v>358.05250000000007</v>
      </c>
      <c r="T48" s="24">
        <f t="shared" si="20"/>
        <v>358.05250000000007</v>
      </c>
      <c r="U48" s="24">
        <f t="shared" si="20"/>
        <v>233.18181250000004</v>
      </c>
      <c r="V48" s="24">
        <f t="shared" si="16"/>
        <v>177.779875</v>
      </c>
      <c r="W48" s="24">
        <f t="shared" si="16"/>
        <v>122.3779375</v>
      </c>
      <c r="X48" s="24">
        <f t="shared" si="16"/>
        <v>66.976</v>
      </c>
      <c r="Y48" s="24">
        <f t="shared" si="16"/>
        <v>44.16100000000001</v>
      </c>
    </row>
    <row r="49" spans="1:25" ht="12.75">
      <c r="A49" s="21" t="str">
        <f t="shared" si="19"/>
        <v>Tobis</v>
      </c>
      <c r="D49" s="21" t="s">
        <v>241</v>
      </c>
      <c r="E49" s="21" t="s">
        <v>188</v>
      </c>
      <c r="F49" s="24">
        <f aca="true" t="shared" si="21" ref="F49:U49">0.025*F37/(0.03-0.015)</f>
        <v>1242.8313333333333</v>
      </c>
      <c r="G49" s="24">
        <f t="shared" si="21"/>
        <v>1242.8313333333333</v>
      </c>
      <c r="H49" s="24">
        <f t="shared" si="21"/>
        <v>1242.8313333333333</v>
      </c>
      <c r="I49" s="24">
        <f t="shared" si="21"/>
        <v>1242.8313333333333</v>
      </c>
      <c r="J49" s="24">
        <f t="shared" si="21"/>
        <v>1242.8313333333333</v>
      </c>
      <c r="K49" s="24">
        <f t="shared" si="21"/>
        <v>1242.8313333333333</v>
      </c>
      <c r="L49" s="24">
        <f t="shared" si="21"/>
        <v>1242.8313333333333</v>
      </c>
      <c r="M49" s="24">
        <f t="shared" si="21"/>
        <v>1242.8313333333333</v>
      </c>
      <c r="N49" s="24">
        <f t="shared" si="21"/>
        <v>1242.8313333333333</v>
      </c>
      <c r="O49" s="24">
        <f t="shared" si="21"/>
        <v>1242.8313333333333</v>
      </c>
      <c r="P49" s="24">
        <f t="shared" si="21"/>
        <v>1251.3750000000002</v>
      </c>
      <c r="Q49" s="24">
        <f t="shared" si="21"/>
        <v>1251.3750000000002</v>
      </c>
      <c r="R49" s="24">
        <f t="shared" si="21"/>
        <v>1131.9376166666668</v>
      </c>
      <c r="S49" s="24">
        <f t="shared" si="21"/>
        <v>1110.5784500000002</v>
      </c>
      <c r="T49" s="24">
        <f t="shared" si="21"/>
        <v>1008.1077</v>
      </c>
      <c r="U49" s="24">
        <f t="shared" si="21"/>
        <v>892.2889500000001</v>
      </c>
      <c r="V49" s="24">
        <f t="shared" si="16"/>
        <v>758.7701958333333</v>
      </c>
      <c r="W49" s="24">
        <f t="shared" si="16"/>
        <v>625.2514416666668</v>
      </c>
      <c r="X49" s="24">
        <f t="shared" si="16"/>
        <v>491.7326875</v>
      </c>
      <c r="Y49" s="24">
        <f t="shared" si="16"/>
        <v>358.21393333333333</v>
      </c>
    </row>
    <row r="50" spans="1:25" ht="12.75">
      <c r="A50" s="21" t="str">
        <f t="shared" si="19"/>
        <v>Mørksej</v>
      </c>
      <c r="D50" s="21" t="s">
        <v>241</v>
      </c>
      <c r="E50" s="21" t="s">
        <v>188</v>
      </c>
      <c r="F50" s="24">
        <f aca="true" t="shared" si="22" ref="F50:U50">0.025*F38/(0.03-0.015)</f>
        <v>49.446999999999996</v>
      </c>
      <c r="G50" s="24">
        <f t="shared" si="22"/>
        <v>51.204</v>
      </c>
      <c r="H50" s="24">
        <f t="shared" si="22"/>
        <v>42.419000000000004</v>
      </c>
      <c r="I50" s="24">
        <f t="shared" si="22"/>
        <v>38.98866666666667</v>
      </c>
      <c r="J50" s="24">
        <f t="shared" si="22"/>
        <v>35.55833333333334</v>
      </c>
      <c r="K50" s="24">
        <f t="shared" si="22"/>
        <v>37.022499999999994</v>
      </c>
      <c r="L50" s="24">
        <f t="shared" si="22"/>
        <v>38.486666666666665</v>
      </c>
      <c r="M50" s="24">
        <f t="shared" si="22"/>
        <v>39.909</v>
      </c>
      <c r="N50" s="24">
        <f t="shared" si="22"/>
        <v>33.63399999999999</v>
      </c>
      <c r="O50" s="24">
        <f t="shared" si="22"/>
        <v>38.152</v>
      </c>
      <c r="P50" s="24">
        <f t="shared" si="22"/>
        <v>29.450666666666663</v>
      </c>
      <c r="Q50" s="24">
        <f t="shared" si="22"/>
        <v>30.203666666666663</v>
      </c>
      <c r="R50" s="24">
        <f t="shared" si="22"/>
        <v>46.8366</v>
      </c>
      <c r="S50" s="24">
        <f t="shared" si="22"/>
        <v>57.24473333333334</v>
      </c>
      <c r="T50" s="24">
        <f t="shared" si="22"/>
        <v>65.92096666666666</v>
      </c>
      <c r="U50" s="24">
        <f t="shared" si="22"/>
        <v>50.30876666666667</v>
      </c>
      <c r="V50" s="24">
        <f t="shared" si="16"/>
        <v>42.76203333333333</v>
      </c>
      <c r="W50" s="24">
        <f t="shared" si="16"/>
        <v>42.76203333333333</v>
      </c>
      <c r="X50" s="24">
        <f t="shared" si="16"/>
        <v>47.154533333333326</v>
      </c>
      <c r="Y50" s="24">
        <f t="shared" si="16"/>
        <v>43.69073333333334</v>
      </c>
    </row>
    <row r="51" spans="1:25" ht="12.75">
      <c r="A51" s="21" t="str">
        <f t="shared" si="19"/>
        <v>Brisling</v>
      </c>
      <c r="D51" s="21" t="s">
        <v>241</v>
      </c>
      <c r="E51" s="21" t="s">
        <v>188</v>
      </c>
      <c r="F51" s="24">
        <f aca="true" t="shared" si="23" ref="F51:U51">0.025*F39/(0.03-0.015)</f>
        <v>148.79728522840844</v>
      </c>
      <c r="G51" s="24">
        <f t="shared" si="23"/>
        <v>140.89704272704745</v>
      </c>
      <c r="H51" s="24">
        <f t="shared" si="23"/>
        <v>139.60554272704744</v>
      </c>
      <c r="I51" s="24">
        <f t="shared" si="23"/>
        <v>149.93754272704746</v>
      </c>
      <c r="J51" s="24">
        <f t="shared" si="23"/>
        <v>266.2901612887893</v>
      </c>
      <c r="K51" s="24">
        <f t="shared" si="23"/>
        <v>313.9448896411769</v>
      </c>
      <c r="L51" s="24">
        <f t="shared" si="23"/>
        <v>335.1931250680513</v>
      </c>
      <c r="M51" s="24">
        <f t="shared" si="23"/>
        <v>280.6005104677051</v>
      </c>
      <c r="N51" s="24">
        <f t="shared" si="23"/>
        <v>270.8733333333334</v>
      </c>
      <c r="O51" s="24">
        <f t="shared" si="23"/>
        <v>301.3800666666666</v>
      </c>
      <c r="P51" s="24">
        <f t="shared" si="23"/>
        <v>373.20933333333335</v>
      </c>
      <c r="Q51" s="24">
        <f t="shared" si="23"/>
        <v>367.7536</v>
      </c>
      <c r="R51" s="24">
        <f t="shared" si="23"/>
        <v>370.78623333333337</v>
      </c>
      <c r="S51" s="24">
        <f t="shared" si="23"/>
        <v>386.26920000000007</v>
      </c>
      <c r="T51" s="24">
        <f t="shared" si="23"/>
        <v>397.1000333333334</v>
      </c>
      <c r="U51" s="24">
        <f t="shared" si="23"/>
        <v>427.0204666666667</v>
      </c>
      <c r="V51" s="24">
        <f t="shared" si="16"/>
        <v>435.17400000000004</v>
      </c>
      <c r="W51" s="24">
        <f t="shared" si="16"/>
        <v>293.9276333333334</v>
      </c>
      <c r="X51" s="24">
        <f t="shared" si="16"/>
        <v>329.8983</v>
      </c>
      <c r="Y51" s="24">
        <f t="shared" si="16"/>
        <v>291.2626333333333</v>
      </c>
    </row>
    <row r="52" spans="1:25" ht="12.75">
      <c r="A52" s="21" t="str">
        <f t="shared" si="19"/>
        <v>Jomfruhummer</v>
      </c>
      <c r="D52" s="21" t="s">
        <v>241</v>
      </c>
      <c r="E52" s="21" t="s">
        <v>188</v>
      </c>
      <c r="F52" s="24">
        <f aca="true" t="shared" si="24" ref="F52:U52">0.025*F40/(0.03-0.015)</f>
        <v>376.124</v>
      </c>
      <c r="G52" s="24">
        <f t="shared" si="24"/>
        <v>360.15000000000003</v>
      </c>
      <c r="H52" s="24">
        <f t="shared" si="24"/>
        <v>258.32800000000003</v>
      </c>
      <c r="I52" s="24">
        <f t="shared" si="24"/>
        <v>288.414</v>
      </c>
      <c r="J52" s="24">
        <f t="shared" si="24"/>
        <v>311.346</v>
      </c>
      <c r="K52" s="24">
        <f t="shared" si="24"/>
        <v>353.682</v>
      </c>
      <c r="L52" s="24">
        <f t="shared" si="24"/>
        <v>409.346</v>
      </c>
      <c r="M52" s="24">
        <f t="shared" si="24"/>
        <v>419.734</v>
      </c>
      <c r="N52" s="24">
        <f t="shared" si="24"/>
        <v>488.432</v>
      </c>
      <c r="O52" s="24">
        <f t="shared" si="24"/>
        <v>534.7860000000001</v>
      </c>
      <c r="P52" s="24">
        <f t="shared" si="24"/>
        <v>498.2320000000001</v>
      </c>
      <c r="Q52" s="24">
        <f t="shared" si="24"/>
        <v>471.87000000000006</v>
      </c>
      <c r="R52" s="24">
        <f t="shared" si="24"/>
        <v>532.9239999999999</v>
      </c>
      <c r="S52" s="24">
        <f t="shared" si="24"/>
        <v>479.5139999999999</v>
      </c>
      <c r="T52" s="24">
        <f t="shared" si="24"/>
        <v>510.09000000000003</v>
      </c>
      <c r="U52" s="24">
        <f t="shared" si="24"/>
        <v>519.694</v>
      </c>
      <c r="V52" s="24">
        <f t="shared" si="16"/>
        <v>440.804</v>
      </c>
      <c r="W52" s="24">
        <f t="shared" si="16"/>
        <v>423.85</v>
      </c>
      <c r="X52" s="24">
        <f t="shared" si="16"/>
        <v>420.51800000000003</v>
      </c>
      <c r="Y52" s="24">
        <f t="shared" si="16"/>
        <v>437.66800000000006</v>
      </c>
    </row>
    <row r="53" spans="1:25" ht="12.75">
      <c r="A53" s="21" t="str">
        <f t="shared" si="19"/>
        <v>Grønlandsrejer</v>
      </c>
      <c r="D53" s="21" t="s">
        <v>241</v>
      </c>
      <c r="E53" s="21" t="s">
        <v>188</v>
      </c>
      <c r="F53" s="24">
        <f aca="true" t="shared" si="25" ref="F53:Y53">0.025*F41/(0.03-0.015)</f>
        <v>23.69185</v>
      </c>
      <c r="G53" s="24">
        <f t="shared" si="25"/>
        <v>59.02975000000001</v>
      </c>
      <c r="H53" s="24">
        <f t="shared" si="25"/>
        <v>86.93230000000001</v>
      </c>
      <c r="I53" s="24">
        <f t="shared" si="25"/>
        <v>19.374550000000003</v>
      </c>
      <c r="J53" s="24">
        <f t="shared" si="25"/>
        <v>24.9444</v>
      </c>
      <c r="K53" s="24">
        <f t="shared" si="25"/>
        <v>33.76555</v>
      </c>
      <c r="L53" s="24">
        <f t="shared" si="25"/>
        <v>35.84425</v>
      </c>
      <c r="M53" s="24">
        <f t="shared" si="25"/>
        <v>48.44970000000001</v>
      </c>
      <c r="N53" s="24">
        <f t="shared" si="25"/>
        <v>50.28855</v>
      </c>
      <c r="O53" s="24">
        <f t="shared" si="25"/>
        <v>48.076600000000006</v>
      </c>
      <c r="P53" s="24">
        <f t="shared" si="25"/>
        <v>49.75555000000001</v>
      </c>
      <c r="Q53" s="24">
        <f t="shared" si="25"/>
        <v>56.33810000000001</v>
      </c>
      <c r="R53" s="24">
        <f t="shared" si="25"/>
        <v>51.32790000000001</v>
      </c>
      <c r="S53" s="24">
        <f t="shared" si="25"/>
        <v>72.14155000000001</v>
      </c>
      <c r="T53" s="24">
        <f t="shared" si="25"/>
        <v>110.17110000000001</v>
      </c>
      <c r="U53" s="24">
        <f t="shared" si="25"/>
        <v>119.12550000000002</v>
      </c>
      <c r="V53" s="24">
        <f t="shared" si="25"/>
        <v>129.59895000000003</v>
      </c>
      <c r="W53" s="24">
        <f t="shared" si="25"/>
        <v>125.60145000000003</v>
      </c>
      <c r="X53" s="24">
        <f t="shared" si="25"/>
        <v>117.4199</v>
      </c>
      <c r="Y53" s="24">
        <f t="shared" si="25"/>
        <v>156.59539999999998</v>
      </c>
    </row>
    <row r="54" spans="1:25" ht="12.75">
      <c r="A54" s="21" t="s">
        <v>224</v>
      </c>
      <c r="F54" s="24">
        <f aca="true" t="shared" si="26" ref="F54:Y54">SUM(F44:F53)</f>
        <v>6596.9814861469695</v>
      </c>
      <c r="G54" s="24">
        <f t="shared" si="26"/>
        <v>6168.180476978941</v>
      </c>
      <c r="H54" s="24">
        <f t="shared" si="26"/>
        <v>5784.512460312276</v>
      </c>
      <c r="I54" s="24">
        <f t="shared" si="26"/>
        <v>5454.446376978943</v>
      </c>
      <c r="J54" s="24">
        <f t="shared" si="26"/>
        <v>5788.05213128879</v>
      </c>
      <c r="K54" s="24">
        <f t="shared" si="26"/>
        <v>5967.6189024678815</v>
      </c>
      <c r="L54" s="24">
        <f t="shared" si="26"/>
        <v>6375.668664078468</v>
      </c>
      <c r="M54" s="24">
        <f t="shared" si="26"/>
        <v>6383.283698052098</v>
      </c>
      <c r="N54" s="24">
        <f t="shared" si="26"/>
        <v>6418.5504200000005</v>
      </c>
      <c r="O54" s="24">
        <f t="shared" si="26"/>
        <v>6426.855803333335</v>
      </c>
      <c r="P54" s="24">
        <f t="shared" si="26"/>
        <v>6084.870716666667</v>
      </c>
      <c r="Q54" s="24">
        <f t="shared" si="26"/>
        <v>5675.933666666667</v>
      </c>
      <c r="R54" s="24">
        <f t="shared" si="26"/>
        <v>5236.3763500000005</v>
      </c>
      <c r="S54" s="24">
        <f t="shared" si="26"/>
        <v>5181.310233333334</v>
      </c>
      <c r="T54" s="24">
        <f t="shared" si="26"/>
        <v>4905.102483333333</v>
      </c>
      <c r="U54" s="24">
        <f t="shared" si="26"/>
        <v>4793.620045833333</v>
      </c>
      <c r="V54" s="24">
        <f t="shared" si="26"/>
        <v>4453.6763875</v>
      </c>
      <c r="W54" s="24">
        <f t="shared" si="26"/>
        <v>3888.1785791666666</v>
      </c>
      <c r="X54" s="24">
        <f t="shared" si="26"/>
        <v>3526.2379041666663</v>
      </c>
      <c r="Y54" s="24">
        <f t="shared" si="26"/>
        <v>3489.6160833333342</v>
      </c>
    </row>
    <row r="56" ht="12.75">
      <c r="A56" s="21" t="s">
        <v>270</v>
      </c>
    </row>
    <row r="57" ht="12.75">
      <c r="A57" s="21" t="s">
        <v>271</v>
      </c>
    </row>
    <row r="58" spans="1:25" ht="12.75">
      <c r="A58" s="21" t="s">
        <v>233</v>
      </c>
      <c r="C58" s="21" t="s">
        <v>234</v>
      </c>
      <c r="E58" s="21" t="s">
        <v>235</v>
      </c>
      <c r="L58" s="27">
        <v>-8.936023608</v>
      </c>
      <c r="M58" s="27">
        <v>163.07260634</v>
      </c>
      <c r="N58" s="27">
        <v>236.42486048</v>
      </c>
      <c r="O58" s="27">
        <v>25.694675323</v>
      </c>
      <c r="P58" s="27">
        <v>-84.29734643</v>
      </c>
      <c r="Q58" s="27">
        <v>69.442248089</v>
      </c>
      <c r="R58" s="27">
        <v>226.9103731</v>
      </c>
      <c r="S58" s="27">
        <v>-88.27637321</v>
      </c>
      <c r="T58" s="27">
        <v>-162.4602101</v>
      </c>
      <c r="U58" s="27">
        <v>107.5719092551372</v>
      </c>
      <c r="V58" s="27">
        <v>310.14941834290113</v>
      </c>
      <c r="W58" s="27">
        <v>301.76868107481806</v>
      </c>
      <c r="X58" s="27">
        <v>199.6815090419456</v>
      </c>
      <c r="Y58" s="27">
        <v>136.9317362426933</v>
      </c>
    </row>
    <row r="59" spans="1:25" ht="12.75">
      <c r="A59" s="21" t="s">
        <v>236</v>
      </c>
      <c r="C59" s="21" t="s">
        <v>234</v>
      </c>
      <c r="E59" s="21" t="s">
        <v>235</v>
      </c>
      <c r="L59" s="27">
        <v>74.716951613</v>
      </c>
      <c r="M59" s="27">
        <v>72.125724871</v>
      </c>
      <c r="N59" s="27">
        <v>92.370015016</v>
      </c>
      <c r="O59" s="27">
        <v>92.958599446</v>
      </c>
      <c r="P59" s="27">
        <v>93.014193858</v>
      </c>
      <c r="Q59" s="27">
        <v>94.084914953</v>
      </c>
      <c r="R59" s="27">
        <v>98.950144506</v>
      </c>
      <c r="S59" s="27">
        <v>98.839411821</v>
      </c>
      <c r="T59" s="27">
        <v>111.17377103</v>
      </c>
      <c r="U59" s="27">
        <v>108.20226067554292</v>
      </c>
      <c r="V59" s="27">
        <v>112.21710310870813</v>
      </c>
      <c r="W59" s="27">
        <v>136.60283538398272</v>
      </c>
      <c r="X59" s="27">
        <v>130.93136402073736</v>
      </c>
      <c r="Y59" s="27">
        <v>110.33798519964323</v>
      </c>
    </row>
    <row r="60" spans="1:25" ht="12.75">
      <c r="A60" s="21" t="s">
        <v>237</v>
      </c>
      <c r="C60" s="21" t="s">
        <v>234</v>
      </c>
      <c r="E60" s="21" t="s">
        <v>235</v>
      </c>
      <c r="L60" s="27">
        <v>73.184635005</v>
      </c>
      <c r="M60" s="27">
        <v>72.777523029</v>
      </c>
      <c r="N60" s="27">
        <v>81.615922281</v>
      </c>
      <c r="O60" s="27">
        <v>84.271556483</v>
      </c>
      <c r="P60" s="27">
        <v>86.96858004</v>
      </c>
      <c r="Q60" s="27">
        <v>86.44624317</v>
      </c>
      <c r="R60" s="27">
        <v>88.283819651</v>
      </c>
      <c r="S60" s="27">
        <v>89.791180299</v>
      </c>
      <c r="T60" s="27">
        <v>85.126190998</v>
      </c>
      <c r="U60" s="27">
        <v>78.7460025253685</v>
      </c>
      <c r="V60" s="27">
        <v>88.41967340212038</v>
      </c>
      <c r="W60" s="27">
        <v>95.65516131005744</v>
      </c>
      <c r="X60" s="27">
        <v>100.88088855950609</v>
      </c>
      <c r="Y60" s="27">
        <v>80.67779773712054</v>
      </c>
    </row>
    <row r="61" spans="1:25" ht="12.75">
      <c r="A61" s="21" t="s">
        <v>238</v>
      </c>
      <c r="C61" s="21" t="s">
        <v>234</v>
      </c>
      <c r="E61" s="21" t="s">
        <v>235</v>
      </c>
      <c r="L61" s="27">
        <v>56.19570934</v>
      </c>
      <c r="M61" s="27">
        <v>52.756892427</v>
      </c>
      <c r="N61" s="27">
        <v>60.325583689</v>
      </c>
      <c r="O61" s="27">
        <v>52.553118586</v>
      </c>
      <c r="P61" s="27">
        <v>49.862921436</v>
      </c>
      <c r="Q61" s="27">
        <v>60.258251043</v>
      </c>
      <c r="R61" s="27">
        <v>55.116532047</v>
      </c>
      <c r="S61" s="27">
        <v>54.895044413</v>
      </c>
      <c r="T61" s="27">
        <v>54.793919402</v>
      </c>
      <c r="U61" s="27">
        <v>42.52658452677223</v>
      </c>
      <c r="V61" s="27">
        <v>43.69330897386758</v>
      </c>
      <c r="W61" s="27">
        <v>59.30019897253026</v>
      </c>
      <c r="X61" s="27">
        <v>54.89012941479849</v>
      </c>
      <c r="Y61" s="27">
        <v>43.62918610673031</v>
      </c>
    </row>
    <row r="62" spans="1:25" ht="12.75">
      <c r="A62" s="21" t="s">
        <v>239</v>
      </c>
      <c r="C62" s="21" t="s">
        <v>234</v>
      </c>
      <c r="E62" s="21" t="s">
        <v>235</v>
      </c>
      <c r="L62" s="27">
        <v>85.82310118</v>
      </c>
      <c r="M62" s="27">
        <v>78.301787288</v>
      </c>
      <c r="N62" s="27">
        <v>99.832507717</v>
      </c>
      <c r="O62" s="27">
        <v>94.718514942</v>
      </c>
      <c r="P62" s="27">
        <v>88.329599448</v>
      </c>
      <c r="Q62" s="27">
        <v>93.0885483</v>
      </c>
      <c r="R62" s="27">
        <v>96.662236149</v>
      </c>
      <c r="S62" s="27">
        <v>91.267035951</v>
      </c>
      <c r="T62" s="27">
        <v>96.64434581</v>
      </c>
      <c r="U62" s="27">
        <v>81.0035801230739</v>
      </c>
      <c r="V62" s="27">
        <v>79.11427223285278</v>
      </c>
      <c r="W62" s="27">
        <v>91.13462086547736</v>
      </c>
      <c r="X62" s="27">
        <v>82.08219170463977</v>
      </c>
      <c r="Y62" s="27">
        <v>73.7048053441829</v>
      </c>
    </row>
    <row r="63" spans="1:25" ht="12.75">
      <c r="A63" s="21" t="s">
        <v>253</v>
      </c>
      <c r="C63" s="21" t="s">
        <v>234</v>
      </c>
      <c r="E63" s="21" t="s">
        <v>235</v>
      </c>
      <c r="L63" s="27">
        <v>4.6650555681</v>
      </c>
      <c r="M63" s="27">
        <v>5.2529143605</v>
      </c>
      <c r="N63" s="27">
        <v>5.2512265691</v>
      </c>
      <c r="O63" s="27">
        <v>7.519772486</v>
      </c>
      <c r="P63" s="27">
        <v>7.6118338275</v>
      </c>
      <c r="Q63" s="27">
        <v>6.1112128871</v>
      </c>
      <c r="R63" s="27">
        <v>7.9248901556</v>
      </c>
      <c r="S63" s="27">
        <v>8.5836113814</v>
      </c>
      <c r="T63" s="27">
        <v>7.0925723488</v>
      </c>
      <c r="U63" s="27">
        <v>7.606775615565174</v>
      </c>
      <c r="V63" s="27">
        <v>24.76973764353959</v>
      </c>
      <c r="W63" s="27">
        <v>85.59540203680098</v>
      </c>
      <c r="X63" s="27">
        <v>102.59578076425802</v>
      </c>
      <c r="Y63" s="27">
        <v>140.4381696655072</v>
      </c>
    </row>
    <row r="64" spans="1:25" ht="12.75">
      <c r="A64" s="21" t="s">
        <v>240</v>
      </c>
      <c r="E64" s="21" t="s">
        <v>235</v>
      </c>
      <c r="L64" s="27">
        <f>L58+SUM(L59:L63)</f>
        <v>285.6494290981</v>
      </c>
      <c r="M64" s="27">
        <f aca="true" t="shared" si="27" ref="M64:Y64">M58+SUM(M59:M63)</f>
        <v>444.2874483155</v>
      </c>
      <c r="N64" s="27">
        <f t="shared" si="27"/>
        <v>575.8201157521</v>
      </c>
      <c r="O64" s="27">
        <f t="shared" si="27"/>
        <v>357.716237266</v>
      </c>
      <c r="P64" s="27">
        <f t="shared" si="27"/>
        <v>241.48978217949997</v>
      </c>
      <c r="Q64" s="27">
        <f t="shared" si="27"/>
        <v>409.43141844210004</v>
      </c>
      <c r="R64" s="27">
        <f t="shared" si="27"/>
        <v>573.8479956086</v>
      </c>
      <c r="S64" s="27">
        <f t="shared" si="27"/>
        <v>255.0999106554</v>
      </c>
      <c r="T64" s="27">
        <f t="shared" si="27"/>
        <v>192.3705894888</v>
      </c>
      <c r="U64" s="27">
        <f t="shared" si="27"/>
        <v>425.65711272145995</v>
      </c>
      <c r="V64" s="27">
        <f t="shared" si="27"/>
        <v>658.3635137039896</v>
      </c>
      <c r="W64" s="27">
        <f t="shared" si="27"/>
        <v>770.0568996436668</v>
      </c>
      <c r="X64" s="27">
        <f t="shared" si="27"/>
        <v>671.0618635058853</v>
      </c>
      <c r="Y64" s="27">
        <f t="shared" si="27"/>
        <v>585.7196802958774</v>
      </c>
    </row>
    <row r="65" spans="1:25" ht="12.75">
      <c r="A65" s="21" t="s">
        <v>246</v>
      </c>
      <c r="C65" s="21" t="s">
        <v>234</v>
      </c>
      <c r="E65" s="21" t="s">
        <v>235</v>
      </c>
      <c r="L65" s="24">
        <v>2635.0038682</v>
      </c>
      <c r="M65" s="24">
        <v>2667.6766332</v>
      </c>
      <c r="N65" s="24">
        <v>3151.7157862</v>
      </c>
      <c r="O65" s="24">
        <v>3226.1219521</v>
      </c>
      <c r="P65" s="24">
        <v>3251.0505494</v>
      </c>
      <c r="Q65" s="24">
        <v>3376.7732096</v>
      </c>
      <c r="R65" s="24">
        <v>3629.8935751</v>
      </c>
      <c r="S65" s="24">
        <v>3969.3837181</v>
      </c>
      <c r="T65" s="24">
        <v>4314.9299226</v>
      </c>
      <c r="U65" s="24">
        <v>4566.331421225743</v>
      </c>
      <c r="V65" s="24">
        <v>5866.184504498751</v>
      </c>
      <c r="W65" s="24">
        <v>8558.31345544787</v>
      </c>
      <c r="X65" s="24">
        <v>9167.120054921646</v>
      </c>
      <c r="Y65" s="24">
        <v>13397.67006253798</v>
      </c>
    </row>
    <row r="66" spans="1:25" ht="12.75">
      <c r="A66" s="21" t="s">
        <v>247</v>
      </c>
      <c r="C66" s="21" t="s">
        <v>234</v>
      </c>
      <c r="E66" s="21" t="s">
        <v>235</v>
      </c>
      <c r="L66" s="28"/>
      <c r="M66" s="28"/>
      <c r="N66" s="28"/>
      <c r="O66" s="28"/>
      <c r="P66" s="28"/>
      <c r="Q66" s="28"/>
      <c r="R66" s="28"/>
      <c r="S66" s="28"/>
      <c r="T66" s="28"/>
      <c r="U66" s="28"/>
      <c r="V66" s="28"/>
      <c r="W66" s="28"/>
      <c r="X66" s="28"/>
      <c r="Y66" s="24">
        <v>4480.780232403774</v>
      </c>
    </row>
    <row r="67" spans="1:25" ht="12.75">
      <c r="A67" s="21" t="s">
        <v>248</v>
      </c>
      <c r="C67" s="21" t="s">
        <v>234</v>
      </c>
      <c r="E67" s="21" t="s">
        <v>235</v>
      </c>
      <c r="L67" s="28"/>
      <c r="M67" s="28"/>
      <c r="N67" s="28"/>
      <c r="O67" s="28"/>
      <c r="P67" s="28"/>
      <c r="Q67" s="28"/>
      <c r="R67" s="28"/>
      <c r="S67" s="28"/>
      <c r="T67" s="28"/>
      <c r="U67" s="28"/>
      <c r="V67" s="28"/>
      <c r="W67" s="28"/>
      <c r="X67" s="28"/>
      <c r="Y67" s="24">
        <v>3366.5278089913804</v>
      </c>
    </row>
    <row r="68" spans="1:25" ht="12.75">
      <c r="A68" s="21" t="s">
        <v>249</v>
      </c>
      <c r="C68" s="21" t="s">
        <v>234</v>
      </c>
      <c r="E68" s="21" t="s">
        <v>235</v>
      </c>
      <c r="L68" s="28"/>
      <c r="M68" s="28"/>
      <c r="N68" s="28"/>
      <c r="O68" s="28"/>
      <c r="P68" s="28"/>
      <c r="Q68" s="28"/>
      <c r="R68" s="28"/>
      <c r="S68" s="28"/>
      <c r="T68" s="28"/>
      <c r="U68" s="28"/>
      <c r="V68" s="28"/>
      <c r="W68" s="28"/>
      <c r="X68" s="28"/>
      <c r="Y68" s="24">
        <v>191.7068239607881</v>
      </c>
    </row>
    <row r="69" spans="1:25" ht="12.75">
      <c r="A69" s="21" t="s">
        <v>250</v>
      </c>
      <c r="C69" s="21" t="s">
        <v>234</v>
      </c>
      <c r="E69" s="21" t="s">
        <v>235</v>
      </c>
      <c r="L69" s="24">
        <v>40.119163564</v>
      </c>
      <c r="M69" s="24">
        <v>35.850882323</v>
      </c>
      <c r="N69" s="24">
        <v>40.111117781</v>
      </c>
      <c r="O69" s="24">
        <v>49.944385038</v>
      </c>
      <c r="P69" s="24">
        <v>53.803934696</v>
      </c>
      <c r="Q69" s="24">
        <v>50.061600077</v>
      </c>
      <c r="R69" s="24">
        <v>60.390001882</v>
      </c>
      <c r="S69" s="24">
        <v>246.97854717</v>
      </c>
      <c r="T69" s="24">
        <v>388.17386145</v>
      </c>
      <c r="U69" s="24">
        <v>739.577783436074</v>
      </c>
      <c r="V69" s="24">
        <v>1796.1927644021048</v>
      </c>
      <c r="W69" s="24">
        <v>3394.205204634035</v>
      </c>
      <c r="X69" s="24">
        <v>4088.9528339103463</v>
      </c>
      <c r="Y69" s="24">
        <v>122.717134165282</v>
      </c>
    </row>
    <row r="70" spans="1:25" ht="12.75">
      <c r="A70" s="21" t="s">
        <v>251</v>
      </c>
      <c r="C70" s="21" t="s">
        <v>234</v>
      </c>
      <c r="E70" s="21" t="s">
        <v>235</v>
      </c>
      <c r="L70" s="24">
        <v>40.609630449</v>
      </c>
      <c r="M70" s="24">
        <v>30.109620203</v>
      </c>
      <c r="N70" s="24">
        <v>27.355132647</v>
      </c>
      <c r="O70" s="24">
        <v>25.519998132</v>
      </c>
      <c r="P70" s="24">
        <v>62.548552696</v>
      </c>
      <c r="Q70" s="24">
        <v>59.811068008</v>
      </c>
      <c r="R70" s="24">
        <v>58.359088309</v>
      </c>
      <c r="S70" s="24">
        <v>76.00988749</v>
      </c>
      <c r="T70" s="24">
        <v>80.080430202</v>
      </c>
      <c r="U70" s="24">
        <v>91.29551558883553</v>
      </c>
      <c r="V70" s="24">
        <v>107.55541271671132</v>
      </c>
      <c r="W70" s="24">
        <v>112.78490910776323</v>
      </c>
      <c r="X70" s="24">
        <v>199.80305932350447</v>
      </c>
      <c r="Y70" s="24">
        <v>228.59055441900966</v>
      </c>
    </row>
    <row r="71" spans="1:25" ht="12.75">
      <c r="A71" s="21" t="s">
        <v>252</v>
      </c>
      <c r="C71" s="21" t="s">
        <v>234</v>
      </c>
      <c r="E71" s="21" t="s">
        <v>235</v>
      </c>
      <c r="L71" s="24">
        <v>259.88337447</v>
      </c>
      <c r="M71" s="24">
        <v>268.49888525</v>
      </c>
      <c r="N71" s="24">
        <v>374.5529278</v>
      </c>
      <c r="O71" s="24">
        <v>286.46841974</v>
      </c>
      <c r="P71" s="24">
        <v>238.81105873</v>
      </c>
      <c r="Q71" s="24">
        <v>251.5970006</v>
      </c>
      <c r="R71" s="24">
        <v>322.55613234</v>
      </c>
      <c r="S71" s="24">
        <v>295.31123498</v>
      </c>
      <c r="T71" s="24">
        <v>309.22687502</v>
      </c>
      <c r="U71" s="24">
        <v>394.1578725746168</v>
      </c>
      <c r="V71" s="24">
        <v>588.6047568916376</v>
      </c>
      <c r="W71" s="24">
        <v>970.7231858431439</v>
      </c>
      <c r="X71" s="24">
        <v>856.4617547797819</v>
      </c>
      <c r="Y71" s="24">
        <v>700.5048705721413</v>
      </c>
    </row>
    <row r="72" spans="1:25" ht="12.75">
      <c r="A72" s="21" t="s">
        <v>254</v>
      </c>
      <c r="E72" s="21" t="s">
        <v>235</v>
      </c>
      <c r="L72" s="24">
        <f>L65-SUM(L66:L71)</f>
        <v>2294.391699717</v>
      </c>
      <c r="M72" s="24">
        <f aca="true" t="shared" si="28" ref="M72:Y72">M65-SUM(M66:M71)</f>
        <v>2333.2172454240003</v>
      </c>
      <c r="N72" s="24">
        <f t="shared" si="28"/>
        <v>2709.696607972</v>
      </c>
      <c r="O72" s="24">
        <f t="shared" si="28"/>
        <v>2864.1891491899996</v>
      </c>
      <c r="P72" s="24">
        <f t="shared" si="28"/>
        <v>2895.887003278</v>
      </c>
      <c r="Q72" s="24">
        <f t="shared" si="28"/>
        <v>3015.3035409149998</v>
      </c>
      <c r="R72" s="24">
        <f t="shared" si="28"/>
        <v>3188.588352569</v>
      </c>
      <c r="S72" s="24">
        <f t="shared" si="28"/>
        <v>3351.08404846</v>
      </c>
      <c r="T72" s="24">
        <f t="shared" si="28"/>
        <v>3537.4487559280005</v>
      </c>
      <c r="U72" s="24">
        <f t="shared" si="28"/>
        <v>3341.3002496262166</v>
      </c>
      <c r="V72" s="24">
        <f t="shared" si="28"/>
        <v>3373.8315704882975</v>
      </c>
      <c r="W72" s="24">
        <f t="shared" si="28"/>
        <v>4080.600155862927</v>
      </c>
      <c r="X72" s="24">
        <f t="shared" si="28"/>
        <v>4021.902406908014</v>
      </c>
      <c r="Y72" s="24">
        <f t="shared" si="28"/>
        <v>4306.842638025604</v>
      </c>
    </row>
    <row r="73" spans="1:25" ht="12.75">
      <c r="A73" s="21" t="s">
        <v>242</v>
      </c>
      <c r="C73" s="21" t="s">
        <v>243</v>
      </c>
      <c r="D73" s="21" t="s">
        <v>245</v>
      </c>
      <c r="E73" s="21" t="s">
        <v>244</v>
      </c>
      <c r="L73" s="24">
        <v>2577.166718334297</v>
      </c>
      <c r="M73" s="24">
        <v>2799.4531768665847</v>
      </c>
      <c r="N73" s="24">
        <v>3060.307115511551</v>
      </c>
      <c r="O73" s="24">
        <v>3040.717533203125</v>
      </c>
      <c r="P73" s="24">
        <v>3339.4650911458334</v>
      </c>
      <c r="Q73" s="24">
        <v>3472.1181836327346</v>
      </c>
      <c r="R73" s="24">
        <v>3940.4121496240605</v>
      </c>
      <c r="S73" s="24">
        <v>4182.361784006595</v>
      </c>
      <c r="T73" s="24">
        <v>4269.349359864522</v>
      </c>
      <c r="U73" s="24">
        <v>3909.9250714893615</v>
      </c>
      <c r="V73" s="24">
        <v>3822.598784798535</v>
      </c>
      <c r="W73" s="24">
        <v>4108.171860520095</v>
      </c>
      <c r="X73" s="24">
        <v>3996.1116833976835</v>
      </c>
      <c r="Y73" s="24">
        <v>4890.141576102418</v>
      </c>
    </row>
    <row r="74" spans="1:25" ht="12.75">
      <c r="A74" s="21" t="s">
        <v>262</v>
      </c>
      <c r="D74" s="21" t="s">
        <v>263</v>
      </c>
      <c r="E74" s="21" t="s">
        <v>255</v>
      </c>
      <c r="M74" s="23">
        <f>M64/L72*100-7-4</f>
        <v>8.36406274352807</v>
      </c>
      <c r="N74" s="23">
        <f aca="true" t="shared" si="29" ref="N74:Y74">N64/M72*100-7-4</f>
        <v>13.679232801035635</v>
      </c>
      <c r="O74" s="23">
        <f t="shared" si="29"/>
        <v>2.201339080308447</v>
      </c>
      <c r="P74" s="23">
        <f t="shared" si="29"/>
        <v>-2.568651035222519</v>
      </c>
      <c r="Q74" s="23">
        <f t="shared" si="29"/>
        <v>3.1383768765371034</v>
      </c>
      <c r="R74" s="23">
        <f t="shared" si="29"/>
        <v>8.031185014111866</v>
      </c>
      <c r="S74" s="23">
        <f t="shared" si="29"/>
        <v>-2.9995972371325497</v>
      </c>
      <c r="T74" s="23">
        <f t="shared" si="29"/>
        <v>-5.259451965187073</v>
      </c>
      <c r="U74" s="23">
        <f t="shared" si="29"/>
        <v>1.0328842080934884</v>
      </c>
      <c r="V74" s="23">
        <f t="shared" si="29"/>
        <v>8.703811825280866</v>
      </c>
      <c r="W74" s="23">
        <f t="shared" si="29"/>
        <v>11.82440256886374</v>
      </c>
      <c r="X74" s="23">
        <f t="shared" si="29"/>
        <v>5.445175657353165</v>
      </c>
      <c r="Y74" s="23">
        <f t="shared" si="29"/>
        <v>3.563249453538358</v>
      </c>
    </row>
    <row r="75" spans="1:25" ht="12.75">
      <c r="A75" s="21" t="s">
        <v>261</v>
      </c>
      <c r="D75" s="21" t="s">
        <v>263</v>
      </c>
      <c r="E75" s="21" t="s">
        <v>256</v>
      </c>
      <c r="L75" s="23">
        <f>L64/L73*100-7-4</f>
        <v>0.08385526888707062</v>
      </c>
      <c r="M75" s="23">
        <f aca="true" t="shared" si="30" ref="M75:Y75">M64/M73*100-7-4</f>
        <v>4.870508283077944</v>
      </c>
      <c r="N75" s="23">
        <f t="shared" si="30"/>
        <v>7.8157624061155</v>
      </c>
      <c r="O75" s="23">
        <f t="shared" si="30"/>
        <v>0.7642047760081745</v>
      </c>
      <c r="P75" s="23">
        <f t="shared" si="30"/>
        <v>-3.7686088763203607</v>
      </c>
      <c r="Q75" s="23">
        <f t="shared" si="30"/>
        <v>0.7919781755161566</v>
      </c>
      <c r="R75" s="23">
        <f t="shared" si="30"/>
        <v>3.5631465394641175</v>
      </c>
      <c r="S75" s="23">
        <f t="shared" si="30"/>
        <v>-4.900577620259794</v>
      </c>
      <c r="T75" s="23">
        <f t="shared" si="30"/>
        <v>-6.494147391702223</v>
      </c>
      <c r="U75" s="23">
        <f t="shared" si="30"/>
        <v>-0.11342020783739848</v>
      </c>
      <c r="V75" s="23">
        <f t="shared" si="30"/>
        <v>6.22293002138041</v>
      </c>
      <c r="W75" s="23">
        <f t="shared" si="30"/>
        <v>7.74451521962807</v>
      </c>
      <c r="X75" s="23">
        <f t="shared" si="30"/>
        <v>5.7928705870231525</v>
      </c>
      <c r="Y75" s="23">
        <f t="shared" si="30"/>
        <v>0.9775607961582313</v>
      </c>
    </row>
    <row r="76" spans="1:25" ht="12.75">
      <c r="A76" s="21" t="s">
        <v>257</v>
      </c>
      <c r="C76" s="21" t="s">
        <v>258</v>
      </c>
      <c r="D76" s="21" t="s">
        <v>259</v>
      </c>
      <c r="E76" s="21" t="s">
        <v>256</v>
      </c>
      <c r="M76" s="23">
        <v>9</v>
      </c>
      <c r="N76" s="23">
        <v>9</v>
      </c>
      <c r="O76" s="23">
        <v>9</v>
      </c>
      <c r="P76" s="23">
        <v>5</v>
      </c>
      <c r="Q76" s="23">
        <v>12</v>
      </c>
      <c r="R76" s="23">
        <v>15</v>
      </c>
      <c r="S76" s="23">
        <v>4</v>
      </c>
      <c r="T76" s="23">
        <v>5</v>
      </c>
      <c r="U76" s="23">
        <v>9</v>
      </c>
      <c r="V76" s="23">
        <v>15</v>
      </c>
      <c r="W76" s="23">
        <v>20</v>
      </c>
      <c r="X76" s="23">
        <v>20</v>
      </c>
      <c r="Y76" s="23">
        <v>13</v>
      </c>
    </row>
    <row r="77" spans="1:25" ht="12.75">
      <c r="A77" s="21" t="s">
        <v>260</v>
      </c>
      <c r="D77" s="21" t="s">
        <v>264</v>
      </c>
      <c r="E77" s="21" t="s">
        <v>256</v>
      </c>
      <c r="M77" s="23">
        <f>M76-7-4</f>
        <v>-2</v>
      </c>
      <c r="N77" s="23">
        <f aca="true" t="shared" si="31" ref="N77:Y77">N76-7-4</f>
        <v>-2</v>
      </c>
      <c r="O77" s="23">
        <f t="shared" si="31"/>
        <v>-2</v>
      </c>
      <c r="P77" s="23">
        <f t="shared" si="31"/>
        <v>-6</v>
      </c>
      <c r="Q77" s="23">
        <f t="shared" si="31"/>
        <v>1</v>
      </c>
      <c r="R77" s="23">
        <f t="shared" si="31"/>
        <v>4</v>
      </c>
      <c r="S77" s="23">
        <f t="shared" si="31"/>
        <v>-7</v>
      </c>
      <c r="T77" s="23">
        <f t="shared" si="31"/>
        <v>-6</v>
      </c>
      <c r="U77" s="23">
        <f t="shared" si="31"/>
        <v>-2</v>
      </c>
      <c r="V77" s="23">
        <f t="shared" si="31"/>
        <v>4</v>
      </c>
      <c r="W77" s="23">
        <f t="shared" si="31"/>
        <v>9</v>
      </c>
      <c r="X77" s="23">
        <f t="shared" si="31"/>
        <v>9</v>
      </c>
      <c r="Y77" s="23">
        <f t="shared" si="31"/>
        <v>2</v>
      </c>
    </row>
    <row r="78" spans="1:25" ht="12.75">
      <c r="A78" s="21" t="s">
        <v>265</v>
      </c>
      <c r="C78" s="21" t="s">
        <v>234</v>
      </c>
      <c r="D78" s="21" t="s">
        <v>266</v>
      </c>
      <c r="E78" s="21" t="s">
        <v>235</v>
      </c>
      <c r="L78" s="24">
        <v>1843.7956875</v>
      </c>
      <c r="M78" s="24">
        <v>2181.7465159</v>
      </c>
      <c r="N78" s="24">
        <v>2518.6237031</v>
      </c>
      <c r="O78" s="24">
        <v>2279.0366569</v>
      </c>
      <c r="P78" s="24">
        <v>2147.1236362</v>
      </c>
      <c r="Q78" s="24">
        <v>2353.8220312</v>
      </c>
      <c r="R78" s="24">
        <v>2653.0914519</v>
      </c>
      <c r="S78" s="24">
        <v>2220.2297212</v>
      </c>
      <c r="T78" s="24">
        <v>2107.5568077</v>
      </c>
      <c r="U78" s="24">
        <v>2432.878945781698</v>
      </c>
      <c r="V78" s="24">
        <v>2817.271167584117</v>
      </c>
      <c r="W78" s="24">
        <v>3085.375401476329</v>
      </c>
      <c r="X78" s="24">
        <v>3087.6261746728906</v>
      </c>
      <c r="Y78" s="24">
        <v>2803.393552126427</v>
      </c>
    </row>
    <row r="79" spans="1:25" ht="12.75">
      <c r="A79" s="21" t="s">
        <v>268</v>
      </c>
      <c r="D79" s="21" t="s">
        <v>269</v>
      </c>
      <c r="E79" s="21" t="s">
        <v>267</v>
      </c>
      <c r="L79" s="23"/>
      <c r="M79" s="23">
        <f>0.02*L72/M78*100</f>
        <v>2.1032614769828406</v>
      </c>
      <c r="N79" s="23">
        <f aca="true" t="shared" si="32" ref="N79:Y79">0.02*M72/N78*100</f>
        <v>1.8527716089959803</v>
      </c>
      <c r="O79" s="23">
        <f t="shared" si="32"/>
        <v>2.3779315701378794</v>
      </c>
      <c r="P79" s="23">
        <f t="shared" si="32"/>
        <v>2.6679312741012615</v>
      </c>
      <c r="Q79" s="23">
        <f t="shared" si="32"/>
        <v>2.4605828009874227</v>
      </c>
      <c r="R79" s="23">
        <f t="shared" si="32"/>
        <v>2.273049079220849</v>
      </c>
      <c r="S79" s="23">
        <f t="shared" si="32"/>
        <v>2.8723048990134386</v>
      </c>
      <c r="T79" s="23">
        <f t="shared" si="32"/>
        <v>3.180065216953345</v>
      </c>
      <c r="U79" s="23">
        <f t="shared" si="32"/>
        <v>2.908035158972037</v>
      </c>
      <c r="V79" s="23">
        <f t="shared" si="32"/>
        <v>2.372011816307671</v>
      </c>
      <c r="W79" s="23">
        <f t="shared" si="32"/>
        <v>2.1869828668977815</v>
      </c>
      <c r="X79" s="23">
        <f t="shared" si="32"/>
        <v>2.643195727083272</v>
      </c>
      <c r="Y79" s="23">
        <f t="shared" si="32"/>
        <v>2.8693098789910003</v>
      </c>
    </row>
  </sheetData>
  <hyperlinks>
    <hyperlink ref="A2" location="'Ægte opsparing'!A1" display="Retur til forsiden"/>
  </hyperlink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9"/>
  <sheetViews>
    <sheetView workbookViewId="0" topLeftCell="A1">
      <selection activeCell="A2" sqref="A2"/>
    </sheetView>
  </sheetViews>
  <sheetFormatPr defaultColWidth="9.140625" defaultRowHeight="12.75"/>
  <cols>
    <col min="1" max="3" width="9.140625" style="9" customWidth="1"/>
    <col min="4" max="4" width="10.421875" style="9" customWidth="1"/>
    <col min="5" max="7" width="9.140625" style="9" customWidth="1"/>
    <col min="8" max="8" width="11.140625" style="9" bestFit="1" customWidth="1"/>
    <col min="9" max="16384" width="9.140625" style="9" customWidth="1"/>
  </cols>
  <sheetData>
    <row r="1" s="15" customFormat="1" ht="37.5" customHeight="1">
      <c r="A1" s="15" t="s">
        <v>276</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5" ht="12.75">
      <c r="A3" s="9" t="s">
        <v>21</v>
      </c>
      <c r="E3" s="9" t="s">
        <v>25</v>
      </c>
      <c r="G3" s="29">
        <f aca="true" t="shared" si="1" ref="G3:Y3">G7*($U$8+$U$9)/1000000000</f>
        <v>0.00765553331141468</v>
      </c>
      <c r="H3" s="29">
        <f t="shared" si="1"/>
        <v>0.1661158493235884</v>
      </c>
      <c r="I3" s="29">
        <f t="shared" si="1"/>
        <v>0.04768567134941432</v>
      </c>
      <c r="J3" s="29">
        <f t="shared" si="1"/>
        <v>0.22237940739543122</v>
      </c>
      <c r="K3" s="29">
        <f t="shared" si="1"/>
        <v>0.15836808067107233</v>
      </c>
      <c r="L3" s="29">
        <f t="shared" si="1"/>
        <v>0.13235771448048272</v>
      </c>
      <c r="M3" s="29">
        <f t="shared" si="1"/>
        <v>0.1842862115205606</v>
      </c>
      <c r="N3" s="29">
        <f t="shared" si="1"/>
        <v>0.12599347594448737</v>
      </c>
      <c r="O3" s="29">
        <f t="shared" si="1"/>
        <v>0.3789950165855773</v>
      </c>
      <c r="P3" s="29">
        <f t="shared" si="1"/>
        <v>0.13208100845717857</v>
      </c>
      <c r="Q3" s="29">
        <f t="shared" si="1"/>
        <v>0.15071254735965767</v>
      </c>
      <c r="R3" s="29">
        <f t="shared" si="1"/>
        <v>0.05746261750616079</v>
      </c>
      <c r="S3" s="29">
        <f t="shared" si="1"/>
        <v>0.13217324379827994</v>
      </c>
      <c r="T3" s="29">
        <f t="shared" si="1"/>
        <v>0.08568663188318358</v>
      </c>
      <c r="U3" s="29">
        <f t="shared" si="1"/>
        <v>0.26969613738044007</v>
      </c>
      <c r="V3" s="29">
        <f t="shared" si="1"/>
        <v>0.26628342975968894</v>
      </c>
      <c r="W3" s="29">
        <f t="shared" si="1"/>
        <v>0.024903542097373055</v>
      </c>
      <c r="X3" s="29">
        <f t="shared" si="1"/>
        <v>0.3050222730222692</v>
      </c>
      <c r="Y3" s="29">
        <f t="shared" si="1"/>
        <v>0.7686893327389149</v>
      </c>
    </row>
    <row r="4" spans="1:25" ht="12.75">
      <c r="A4" s="9" t="s">
        <v>21</v>
      </c>
      <c r="E4" s="9" t="s">
        <v>105</v>
      </c>
      <c r="G4" s="8">
        <f>G3/BNP!Z3*100</f>
        <v>0.0006726000097886733</v>
      </c>
      <c r="H4" s="8">
        <f>H3/BNP!AA3*100</f>
        <v>0.014312928599309702</v>
      </c>
      <c r="I4" s="8">
        <f>I3/BNP!AB3*100</f>
        <v>0.004112251754864981</v>
      </c>
      <c r="J4" s="8">
        <f>J3/BNP!AC3*100</f>
        <v>0.018172706332878256</v>
      </c>
      <c r="K4" s="8">
        <f>K3/BNP!AD3*100</f>
        <v>0.012556936304398376</v>
      </c>
      <c r="L4" s="8">
        <f>L3/BNP!AE3*100</f>
        <v>0.010205699319953946</v>
      </c>
      <c r="M4" s="8">
        <f>M3/BNP!AF3*100</f>
        <v>0.013769143120185338</v>
      </c>
      <c r="N4" s="8">
        <f>N3/BNP!AG3*100</f>
        <v>0.009214764568455158</v>
      </c>
      <c r="O4" s="8">
        <f>O3/BNP!AH3*100</f>
        <v>0.027026671652683257</v>
      </c>
      <c r="P4" s="8">
        <f>P3/BNP!AI3*100</f>
        <v>0.009097741318169072</v>
      </c>
      <c r="Q4" s="8">
        <f>Q3/BNP!AJ3*100</f>
        <v>0.01030795071196619</v>
      </c>
      <c r="R4" s="8">
        <f>R3/BNP!AK3*100</f>
        <v>0.003911948907765048</v>
      </c>
      <c r="S4" s="8">
        <f>S3/BNP!AL3*100</f>
        <v>0.008963936507173954</v>
      </c>
      <c r="T4" s="8">
        <f>T3/BNP!AM3*100</f>
        <v>0.005680630594217952</v>
      </c>
      <c r="U4" s="8">
        <f>U3/BNP!AN3*100</f>
        <v>0.017452671803561776</v>
      </c>
      <c r="V4" s="8">
        <f>V3/BNP!AO3*100</f>
        <v>0.016666672701989668</v>
      </c>
      <c r="W4" s="8">
        <f>W3/BNP!AP3*100</f>
        <v>0.001534414177287311</v>
      </c>
      <c r="X4" s="8">
        <f>X3/BNP!AQ3*100</f>
        <v>0.018941953239909905</v>
      </c>
      <c r="Y4" s="8">
        <f>Y3/BNP!AR3*100</f>
        <v>0.050695069098391804</v>
      </c>
    </row>
    <row r="6" spans="1:25" ht="12.75">
      <c r="A6" s="9" t="s">
        <v>13</v>
      </c>
      <c r="C6" s="9" t="s">
        <v>26</v>
      </c>
      <c r="E6" s="9" t="s">
        <v>17</v>
      </c>
      <c r="F6" s="14">
        <v>540498</v>
      </c>
      <c r="G6" s="14">
        <v>540581</v>
      </c>
      <c r="H6" s="14">
        <v>542382</v>
      </c>
      <c r="I6" s="14">
        <v>542899</v>
      </c>
      <c r="J6" s="14">
        <v>545310</v>
      </c>
      <c r="K6" s="14">
        <v>547027</v>
      </c>
      <c r="L6" s="14">
        <v>548462</v>
      </c>
      <c r="M6" s="14">
        <v>550460</v>
      </c>
      <c r="N6" s="14">
        <v>551826</v>
      </c>
      <c r="O6" s="14">
        <v>555935</v>
      </c>
      <c r="P6" s="14">
        <v>557367</v>
      </c>
      <c r="Q6" s="14">
        <v>559001</v>
      </c>
      <c r="R6" s="14">
        <v>559624</v>
      </c>
      <c r="S6" s="14">
        <v>561057</v>
      </c>
      <c r="T6" s="14">
        <v>561986</v>
      </c>
      <c r="U6" s="14">
        <v>564910</v>
      </c>
      <c r="V6" s="14">
        <v>567797</v>
      </c>
      <c r="W6" s="14">
        <v>568067</v>
      </c>
      <c r="X6" s="14">
        <v>571374</v>
      </c>
      <c r="Y6" s="14">
        <v>579708</v>
      </c>
    </row>
    <row r="7" spans="1:25" ht="12.75">
      <c r="A7" s="9" t="s">
        <v>14</v>
      </c>
      <c r="E7" s="9" t="s">
        <v>17</v>
      </c>
      <c r="G7" s="14">
        <f aca="true" t="shared" si="2" ref="G7:Y7">G6-F6</f>
        <v>83</v>
      </c>
      <c r="H7" s="14">
        <f t="shared" si="2"/>
        <v>1801</v>
      </c>
      <c r="I7" s="14">
        <f t="shared" si="2"/>
        <v>517</v>
      </c>
      <c r="J7" s="14">
        <f t="shared" si="2"/>
        <v>2411</v>
      </c>
      <c r="K7" s="14">
        <f t="shared" si="2"/>
        <v>1717</v>
      </c>
      <c r="L7" s="14">
        <f t="shared" si="2"/>
        <v>1435</v>
      </c>
      <c r="M7" s="14">
        <f t="shared" si="2"/>
        <v>1998</v>
      </c>
      <c r="N7" s="14">
        <f t="shared" si="2"/>
        <v>1366</v>
      </c>
      <c r="O7" s="14">
        <f t="shared" si="2"/>
        <v>4109</v>
      </c>
      <c r="P7" s="14">
        <f t="shared" si="2"/>
        <v>1432</v>
      </c>
      <c r="Q7" s="14">
        <f t="shared" si="2"/>
        <v>1634</v>
      </c>
      <c r="R7" s="14">
        <f t="shared" si="2"/>
        <v>623</v>
      </c>
      <c r="S7" s="14">
        <f t="shared" si="2"/>
        <v>1433</v>
      </c>
      <c r="T7" s="14">
        <f t="shared" si="2"/>
        <v>929</v>
      </c>
      <c r="U7" s="14">
        <f t="shared" si="2"/>
        <v>2924</v>
      </c>
      <c r="V7" s="14">
        <f t="shared" si="2"/>
        <v>2887</v>
      </c>
      <c r="W7" s="14">
        <f t="shared" si="2"/>
        <v>270</v>
      </c>
      <c r="X7" s="14">
        <f t="shared" si="2"/>
        <v>3307</v>
      </c>
      <c r="Y7" s="14">
        <f t="shared" si="2"/>
        <v>8334</v>
      </c>
    </row>
    <row r="8" spans="1:21" ht="12.75">
      <c r="A8" s="9" t="s">
        <v>18</v>
      </c>
      <c r="C8" s="9" t="s">
        <v>15</v>
      </c>
      <c r="D8" s="9" t="s">
        <v>59</v>
      </c>
      <c r="E8" s="9" t="s">
        <v>16</v>
      </c>
      <c r="U8" s="14">
        <v>45384.26474915342</v>
      </c>
    </row>
    <row r="9" spans="1:21" ht="12.75">
      <c r="A9" s="9" t="s">
        <v>19</v>
      </c>
      <c r="C9" s="9" t="s">
        <v>20</v>
      </c>
      <c r="D9" s="9" t="s">
        <v>60</v>
      </c>
      <c r="E9" s="9" t="s">
        <v>16</v>
      </c>
      <c r="U9" s="14">
        <v>46851.07635222826</v>
      </c>
    </row>
  </sheetData>
  <hyperlinks>
    <hyperlink ref="A2" location="'Ægte opsparing'!A1" display="Retur til forsiden"/>
  </hyperlink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Z10"/>
  <sheetViews>
    <sheetView workbookViewId="0" topLeftCell="A1">
      <selection activeCell="A2" sqref="A2"/>
    </sheetView>
  </sheetViews>
  <sheetFormatPr defaultColWidth="9.140625" defaultRowHeight="12.75"/>
  <cols>
    <col min="1" max="1" width="13.28125" style="9" customWidth="1"/>
    <col min="2" max="2" width="9.140625" style="9" customWidth="1"/>
    <col min="3" max="3" width="6.00390625" style="9" customWidth="1"/>
    <col min="4" max="4" width="11.00390625" style="9" customWidth="1"/>
    <col min="5" max="16384" width="9.140625" style="9" customWidth="1"/>
  </cols>
  <sheetData>
    <row r="1" s="15" customFormat="1" ht="37.5" customHeight="1">
      <c r="A1" s="15" t="s">
        <v>292</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5" ht="12.75">
      <c r="A3" s="9" t="s">
        <v>21</v>
      </c>
      <c r="E3" s="9" t="s">
        <v>25</v>
      </c>
      <c r="F3" s="8">
        <f>F10/1000</f>
        <v>52.825</v>
      </c>
      <c r="G3" s="8">
        <f aca="true" t="shared" si="1" ref="G3:Y3">G10/1000</f>
        <v>41.149</v>
      </c>
      <c r="H3" s="8">
        <f t="shared" si="1"/>
        <v>31.2</v>
      </c>
      <c r="I3" s="8">
        <f t="shared" si="1"/>
        <v>18.996</v>
      </c>
      <c r="J3" s="8">
        <f t="shared" si="1"/>
        <v>21.142</v>
      </c>
      <c r="K3" s="8">
        <f t="shared" si="1"/>
        <v>42.611</v>
      </c>
      <c r="L3" s="8">
        <f t="shared" si="1"/>
        <v>40.217</v>
      </c>
      <c r="M3" s="8">
        <f t="shared" si="1"/>
        <v>52.972</v>
      </c>
      <c r="N3" s="8">
        <f t="shared" si="1"/>
        <v>61.909</v>
      </c>
      <c r="O3" s="8">
        <f t="shared" si="1"/>
        <v>44.588</v>
      </c>
      <c r="P3" s="8">
        <f t="shared" si="1"/>
        <v>62.533</v>
      </c>
      <c r="Q3" s="8">
        <f t="shared" si="1"/>
        <v>50.985</v>
      </c>
      <c r="R3" s="8">
        <f t="shared" si="1"/>
        <v>45.668</v>
      </c>
      <c r="S3" s="8">
        <f t="shared" si="1"/>
        <v>40.06</v>
      </c>
      <c r="T3" s="8">
        <f t="shared" si="1"/>
        <v>42.848</v>
      </c>
      <c r="U3" s="8">
        <f t="shared" si="1"/>
        <v>50.898</v>
      </c>
      <c r="V3" s="8">
        <f t="shared" si="1"/>
        <v>88.725</v>
      </c>
      <c r="W3" s="8">
        <f t="shared" si="1"/>
        <v>78.805</v>
      </c>
      <c r="X3" s="8">
        <f t="shared" si="1"/>
        <v>60.391</v>
      </c>
      <c r="Y3" s="8">
        <f t="shared" si="1"/>
        <v>7.49</v>
      </c>
    </row>
    <row r="4" spans="1:25" ht="12.75">
      <c r="A4" s="9" t="s">
        <v>21</v>
      </c>
      <c r="E4" s="9" t="s">
        <v>105</v>
      </c>
      <c r="F4" s="8">
        <f>F3/BNP!Y3*100</f>
        <v>4.701406194375223</v>
      </c>
      <c r="G4" s="8">
        <f>G3/BNP!Z3*100</f>
        <v>3.6152697241258127</v>
      </c>
      <c r="H4" s="8">
        <f>H3/BNP!AA3*100</f>
        <v>2.688264690677236</v>
      </c>
      <c r="I4" s="8">
        <f>I3/BNP!AB3*100</f>
        <v>1.63815108658158</v>
      </c>
      <c r="J4" s="8">
        <f>J3/BNP!AC3*100</f>
        <v>1.727711040287652</v>
      </c>
      <c r="K4" s="8">
        <f>K3/BNP!AD3*100</f>
        <v>3.3786076752299397</v>
      </c>
      <c r="L4" s="8">
        <f>L3/BNP!AE3*100</f>
        <v>3.1010101010101008</v>
      </c>
      <c r="M4" s="8">
        <f>M3/BNP!AF3*100</f>
        <v>3.957860131500299</v>
      </c>
      <c r="N4" s="8">
        <f>N3/BNP!AG3*100</f>
        <v>4.5278285672493235</v>
      </c>
      <c r="O4" s="8">
        <f>O3/BNP!AH3*100</f>
        <v>3.179633459316837</v>
      </c>
      <c r="P4" s="8">
        <f>P3/BNP!AI3*100</f>
        <v>4.307273729163797</v>
      </c>
      <c r="Q4" s="8">
        <f>Q3/BNP!AJ3*100</f>
        <v>3.4871075849805075</v>
      </c>
      <c r="R4" s="8">
        <f>R3/BNP!AK3*100</f>
        <v>3.108993124106474</v>
      </c>
      <c r="S4" s="8">
        <f>S3/BNP!AL3*100</f>
        <v>2.7168531705662935</v>
      </c>
      <c r="T4" s="8">
        <f>T3/BNP!AM3*100</f>
        <v>2.8406258286926542</v>
      </c>
      <c r="U4" s="8">
        <f>U3/BNP!AN3*100</f>
        <v>3.2937293729372943</v>
      </c>
      <c r="V4" s="8">
        <f>V3/BNP!AO3*100</f>
        <v>5.553295362082994</v>
      </c>
      <c r="W4" s="8">
        <f>W3/BNP!AP3*100</f>
        <v>4.855514479359211</v>
      </c>
      <c r="X4" s="8">
        <f>X3/BNP!AQ3*100</f>
        <v>3.7502949760914115</v>
      </c>
      <c r="Y4" s="8">
        <f>Y3/BNP!AR3*100</f>
        <v>0.4939655740948361</v>
      </c>
    </row>
    <row r="9" spans="1:26" ht="12.75">
      <c r="A9" s="20" t="s">
        <v>106</v>
      </c>
      <c r="C9" s="20" t="s">
        <v>101</v>
      </c>
      <c r="D9" s="9" t="s">
        <v>102</v>
      </c>
      <c r="E9" s="20" t="s">
        <v>103</v>
      </c>
      <c r="F9" s="35">
        <v>3805290</v>
      </c>
      <c r="G9" s="35">
        <v>3858115</v>
      </c>
      <c r="H9" s="35">
        <v>3899264</v>
      </c>
      <c r="I9" s="35">
        <v>3930464</v>
      </c>
      <c r="J9" s="35">
        <v>3949460</v>
      </c>
      <c r="K9" s="35">
        <v>3970602</v>
      </c>
      <c r="L9" s="35">
        <v>4013213</v>
      </c>
      <c r="M9" s="35">
        <v>4053430</v>
      </c>
      <c r="N9" s="35">
        <v>4106402</v>
      </c>
      <c r="O9" s="35">
        <v>4168311</v>
      </c>
      <c r="P9" s="35">
        <v>4212899</v>
      </c>
      <c r="Q9" s="35">
        <v>4275432</v>
      </c>
      <c r="R9" s="35">
        <v>4326417</v>
      </c>
      <c r="S9" s="35">
        <v>4372085</v>
      </c>
      <c r="T9" s="35">
        <v>4412145</v>
      </c>
      <c r="U9" s="35">
        <v>4454993</v>
      </c>
      <c r="V9" s="35">
        <v>4505891</v>
      </c>
      <c r="W9" s="35">
        <v>4594616</v>
      </c>
      <c r="X9" s="35">
        <v>4673421</v>
      </c>
      <c r="Y9" s="35">
        <v>4733812</v>
      </c>
      <c r="Z9" s="35">
        <v>4741302</v>
      </c>
    </row>
    <row r="10" spans="1:26" ht="12.75">
      <c r="A10" s="9" t="s">
        <v>104</v>
      </c>
      <c r="E10" s="20" t="s">
        <v>103</v>
      </c>
      <c r="F10" s="14">
        <f>G9-F9</f>
        <v>52825</v>
      </c>
      <c r="G10" s="14">
        <f aca="true" t="shared" si="2" ref="G10:Y10">H9-G9</f>
        <v>41149</v>
      </c>
      <c r="H10" s="14">
        <f t="shared" si="2"/>
        <v>31200</v>
      </c>
      <c r="I10" s="14">
        <f t="shared" si="2"/>
        <v>18996</v>
      </c>
      <c r="J10" s="14">
        <f t="shared" si="2"/>
        <v>21142</v>
      </c>
      <c r="K10" s="14">
        <f t="shared" si="2"/>
        <v>42611</v>
      </c>
      <c r="L10" s="14">
        <f t="shared" si="2"/>
        <v>40217</v>
      </c>
      <c r="M10" s="14">
        <f t="shared" si="2"/>
        <v>52972</v>
      </c>
      <c r="N10" s="14">
        <f t="shared" si="2"/>
        <v>61909</v>
      </c>
      <c r="O10" s="14">
        <f t="shared" si="2"/>
        <v>44588</v>
      </c>
      <c r="P10" s="14">
        <f t="shared" si="2"/>
        <v>62533</v>
      </c>
      <c r="Q10" s="14">
        <f t="shared" si="2"/>
        <v>50985</v>
      </c>
      <c r="R10" s="14">
        <f t="shared" si="2"/>
        <v>45668</v>
      </c>
      <c r="S10" s="14">
        <f t="shared" si="2"/>
        <v>40060</v>
      </c>
      <c r="T10" s="14">
        <f t="shared" si="2"/>
        <v>42848</v>
      </c>
      <c r="U10" s="14">
        <f t="shared" si="2"/>
        <v>50898</v>
      </c>
      <c r="V10" s="14">
        <f t="shared" si="2"/>
        <v>88725</v>
      </c>
      <c r="W10" s="14">
        <f t="shared" si="2"/>
        <v>78805</v>
      </c>
      <c r="X10" s="14">
        <f t="shared" si="2"/>
        <v>60391</v>
      </c>
      <c r="Y10" s="14">
        <f t="shared" si="2"/>
        <v>7490</v>
      </c>
      <c r="Z10" s="14"/>
    </row>
  </sheetData>
  <hyperlinks>
    <hyperlink ref="A2" location="'Ægte opsparing'!A1" display="Retur til forsiden"/>
  </hyperlink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Z7"/>
  <sheetViews>
    <sheetView workbookViewId="0" topLeftCell="A1">
      <selection activeCell="A1" sqref="A1"/>
    </sheetView>
  </sheetViews>
  <sheetFormatPr defaultColWidth="9.140625" defaultRowHeight="12.75"/>
  <cols>
    <col min="1" max="3" width="9.140625" style="9" customWidth="1"/>
    <col min="4" max="4" width="12.57421875" style="9" customWidth="1"/>
    <col min="5" max="5" width="15.140625" style="9" customWidth="1"/>
    <col min="6" max="16384" width="9.140625" style="9" customWidth="1"/>
  </cols>
  <sheetData>
    <row r="1" s="15" customFormat="1" ht="37.5" customHeight="1">
      <c r="A1" s="15" t="s">
        <v>293</v>
      </c>
    </row>
    <row r="2" spans="1:26" s="17" customFormat="1" ht="30" customHeight="1">
      <c r="A2" s="16" t="s">
        <v>287</v>
      </c>
      <c r="C2" s="17" t="s">
        <v>3</v>
      </c>
      <c r="D2" s="17" t="s">
        <v>2</v>
      </c>
      <c r="E2" s="17" t="s">
        <v>1</v>
      </c>
      <c r="F2" s="17">
        <v>1990</v>
      </c>
      <c r="G2" s="17">
        <f aca="true" t="shared" si="0" ref="G2:Z2">F2+1</f>
        <v>1991</v>
      </c>
      <c r="H2" s="17">
        <f t="shared" si="0"/>
        <v>1992</v>
      </c>
      <c r="I2" s="17">
        <f t="shared" si="0"/>
        <v>1993</v>
      </c>
      <c r="J2" s="17">
        <f t="shared" si="0"/>
        <v>1994</v>
      </c>
      <c r="K2" s="17">
        <f t="shared" si="0"/>
        <v>1995</v>
      </c>
      <c r="L2" s="17">
        <f t="shared" si="0"/>
        <v>1996</v>
      </c>
      <c r="M2" s="17">
        <f t="shared" si="0"/>
        <v>1997</v>
      </c>
      <c r="N2" s="17">
        <f t="shared" si="0"/>
        <v>1998</v>
      </c>
      <c r="O2" s="17">
        <f t="shared" si="0"/>
        <v>1999</v>
      </c>
      <c r="P2" s="17">
        <f t="shared" si="0"/>
        <v>2000</v>
      </c>
      <c r="Q2" s="17">
        <f t="shared" si="0"/>
        <v>2001</v>
      </c>
      <c r="R2" s="17">
        <f t="shared" si="0"/>
        <v>2002</v>
      </c>
      <c r="S2" s="17">
        <f t="shared" si="0"/>
        <v>2003</v>
      </c>
      <c r="T2" s="17">
        <f t="shared" si="0"/>
        <v>2004</v>
      </c>
      <c r="U2" s="17">
        <f t="shared" si="0"/>
        <v>2005</v>
      </c>
      <c r="V2" s="17">
        <f t="shared" si="0"/>
        <v>2006</v>
      </c>
      <c r="W2" s="17">
        <f t="shared" si="0"/>
        <v>2007</v>
      </c>
      <c r="X2" s="17">
        <f t="shared" si="0"/>
        <v>2008</v>
      </c>
      <c r="Y2" s="17">
        <f t="shared" si="0"/>
        <v>2009</v>
      </c>
      <c r="Z2" s="17">
        <f t="shared" si="0"/>
        <v>2010</v>
      </c>
    </row>
    <row r="3" spans="1:25" ht="12.75">
      <c r="A3" s="9" t="s">
        <v>21</v>
      </c>
      <c r="E3" s="9" t="s">
        <v>25</v>
      </c>
      <c r="F3" s="8">
        <f>F7/1000</f>
        <v>5.265806973792095</v>
      </c>
      <c r="G3" s="8">
        <f aca="true" t="shared" si="1" ref="G3:Y3">G7/1000</f>
        <v>9.713993021982889</v>
      </c>
      <c r="H3" s="8">
        <f t="shared" si="1"/>
        <v>24.50242610133656</v>
      </c>
      <c r="I3" s="8">
        <f t="shared" si="1"/>
        <v>33.9920548236057</v>
      </c>
      <c r="J3" s="8">
        <f t="shared" si="1"/>
        <v>20.049097435765216</v>
      </c>
      <c r="K3" s="8">
        <f t="shared" si="1"/>
        <v>11.052707622669592</v>
      </c>
      <c r="L3" s="8">
        <f t="shared" si="1"/>
        <v>19.642873282232216</v>
      </c>
      <c r="M3" s="8">
        <f t="shared" si="1"/>
        <v>8.946262529807544</v>
      </c>
      <c r="N3" s="8">
        <f t="shared" si="1"/>
        <v>-12.19963580385637</v>
      </c>
      <c r="O3" s="8">
        <f t="shared" si="1"/>
        <v>36.134784757973826</v>
      </c>
      <c r="P3" s="8">
        <f t="shared" si="1"/>
        <v>20.700949057730107</v>
      </c>
      <c r="Q3" s="8">
        <f t="shared" si="1"/>
        <v>45.89875479948032</v>
      </c>
      <c r="R3" s="8">
        <f t="shared" si="1"/>
        <v>37.72725131492386</v>
      </c>
      <c r="S3" s="8">
        <f t="shared" si="1"/>
        <v>50.79198771947449</v>
      </c>
      <c r="T3" s="8">
        <f t="shared" si="1"/>
        <v>45.65514661641913</v>
      </c>
      <c r="U3" s="8">
        <f t="shared" si="1"/>
        <v>70.009</v>
      </c>
      <c r="V3" s="8">
        <f t="shared" si="1"/>
        <v>47.62711619441805</v>
      </c>
      <c r="W3" s="8">
        <f t="shared" si="1"/>
        <v>22.3126841501313</v>
      </c>
      <c r="X3" s="8">
        <f t="shared" si="1"/>
        <v>42.774452302683976</v>
      </c>
      <c r="Y3" s="8">
        <f t="shared" si="1"/>
        <v>53.43125039497729</v>
      </c>
    </row>
    <row r="4" spans="1:25" ht="12.75">
      <c r="A4" s="9" t="s">
        <v>21</v>
      </c>
      <c r="E4" s="9" t="s">
        <v>105</v>
      </c>
      <c r="F4" s="8">
        <f>F3/BNP!Y3*100</f>
        <v>0.46865494604771235</v>
      </c>
      <c r="G4" s="8">
        <f>G3/BNP!Z3*100</f>
        <v>0.8534522071677111</v>
      </c>
      <c r="H4" s="8">
        <f>H3/BNP!AA3*100</f>
        <v>2.111186119363826</v>
      </c>
      <c r="I4" s="8">
        <f>I3/BNP!AB3*100</f>
        <v>2.931360367679001</v>
      </c>
      <c r="J4" s="8">
        <f>J3/BNP!AC3*100</f>
        <v>1.6383997250768338</v>
      </c>
      <c r="K4" s="8">
        <f>K3/BNP!AD3*100</f>
        <v>0.8763643849246425</v>
      </c>
      <c r="L4" s="8">
        <f>L3/BNP!AE3*100</f>
        <v>1.5146019956999162</v>
      </c>
      <c r="M4" s="8">
        <f>M3/BNP!AF3*100</f>
        <v>0.6684296570388183</v>
      </c>
      <c r="N4" s="8">
        <f>N3/BNP!AG3*100</f>
        <v>-0.8922427999602406</v>
      </c>
      <c r="O4" s="8">
        <f>O3/BNP!AH3*100</f>
        <v>2.5768227025582133</v>
      </c>
      <c r="P4" s="8">
        <f>P3/BNP!AI3*100</f>
        <v>1.4258815992375056</v>
      </c>
      <c r="Q4" s="8">
        <f>Q3/BNP!AJ3*100</f>
        <v>3.139234990731162</v>
      </c>
      <c r="R4" s="8">
        <f>R3/BNP!AK3*100</f>
        <v>2.568401614468232</v>
      </c>
      <c r="S4" s="8">
        <f>S3/BNP!AL3*100</f>
        <v>3.4446922834502876</v>
      </c>
      <c r="T4" s="8">
        <f>T3/BNP!AM3*100</f>
        <v>3.0267267711760226</v>
      </c>
      <c r="U4" s="8">
        <f>U3/BNP!AN3*100</f>
        <v>4.530447162363295</v>
      </c>
      <c r="V4" s="8">
        <f>V3/BNP!AO3*100</f>
        <v>2.98097992078726</v>
      </c>
      <c r="W4" s="8">
        <f>W3/BNP!AP3*100</f>
        <v>1.374780292675989</v>
      </c>
      <c r="X4" s="8">
        <f>X3/BNP!AQ3*100</f>
        <v>2.6563033163189456</v>
      </c>
      <c r="Y4" s="8">
        <f>Y3/BNP!AR3*100</f>
        <v>3.523791492117476</v>
      </c>
    </row>
    <row r="5" spans="6:25" ht="12.75">
      <c r="F5" s="8"/>
      <c r="G5" s="8"/>
      <c r="H5" s="8"/>
      <c r="I5" s="8"/>
      <c r="J5" s="8"/>
      <c r="K5" s="8"/>
      <c r="L5" s="8"/>
      <c r="M5" s="8"/>
      <c r="N5" s="8"/>
      <c r="O5" s="8"/>
      <c r="P5" s="8"/>
      <c r="Q5" s="8"/>
      <c r="R5" s="8"/>
      <c r="S5" s="8"/>
      <c r="T5" s="8"/>
      <c r="U5" s="8"/>
      <c r="V5" s="8"/>
      <c r="W5" s="8"/>
      <c r="X5" s="8"/>
      <c r="Y5" s="8"/>
    </row>
    <row r="6" spans="1:25" ht="12.75">
      <c r="A6" s="9" t="s">
        <v>107</v>
      </c>
      <c r="C6" s="9" t="s">
        <v>108</v>
      </c>
      <c r="E6" s="9" t="s">
        <v>109</v>
      </c>
      <c r="F6" s="14">
        <v>3939.9</v>
      </c>
      <c r="G6" s="14">
        <v>7462.5</v>
      </c>
      <c r="H6" s="14">
        <v>19139.1</v>
      </c>
      <c r="I6" s="14">
        <v>26728.2</v>
      </c>
      <c r="J6" s="14">
        <v>16006.5</v>
      </c>
      <c r="K6" s="14">
        <v>8935</v>
      </c>
      <c r="L6" s="14">
        <v>16198</v>
      </c>
      <c r="M6" s="14">
        <v>7524</v>
      </c>
      <c r="N6" s="14">
        <v>-10382</v>
      </c>
      <c r="O6" s="14">
        <v>31268</v>
      </c>
      <c r="P6" s="14">
        <v>18450</v>
      </c>
      <c r="Q6" s="14">
        <v>41929</v>
      </c>
      <c r="R6" s="14">
        <v>35258</v>
      </c>
      <c r="S6" s="14">
        <v>48249</v>
      </c>
      <c r="T6" s="14">
        <v>44378</v>
      </c>
      <c r="U6" s="14">
        <v>70009</v>
      </c>
      <c r="V6" s="14">
        <v>48639</v>
      </c>
      <c r="W6" s="14">
        <v>23306</v>
      </c>
      <c r="X6" s="14">
        <v>46569.4</v>
      </c>
      <c r="Y6" s="14">
        <v>58769.3</v>
      </c>
    </row>
    <row r="7" spans="1:25" ht="12.75">
      <c r="A7" s="9" t="s">
        <v>107</v>
      </c>
      <c r="D7" s="9" t="s">
        <v>111</v>
      </c>
      <c r="E7" s="9" t="s">
        <v>110</v>
      </c>
      <c r="F7" s="14">
        <f>F6/BNP!Y4</f>
        <v>5265.806973792095</v>
      </c>
      <c r="G7" s="14">
        <f>G6/BNP!Z4</f>
        <v>9713.99302198289</v>
      </c>
      <c r="H7" s="14">
        <f>H6/BNP!AA4</f>
        <v>24502.42610133656</v>
      </c>
      <c r="I7" s="14">
        <f>I6/BNP!AB4</f>
        <v>33992.0548236057</v>
      </c>
      <c r="J7" s="14">
        <f>J6/BNP!AC4</f>
        <v>20049.097435765216</v>
      </c>
      <c r="K7" s="14">
        <f>K6/BNP!AD4</f>
        <v>11052.707622669592</v>
      </c>
      <c r="L7" s="14">
        <f>L6/BNP!AE4</f>
        <v>19642.873282232216</v>
      </c>
      <c r="M7" s="14">
        <f>M6/BNP!AF4</f>
        <v>8946.262529807544</v>
      </c>
      <c r="N7" s="14">
        <f>N6/BNP!AG4</f>
        <v>-12199.63580385637</v>
      </c>
      <c r="O7" s="14">
        <f>O6/BNP!AH4</f>
        <v>36134.78475797382</v>
      </c>
      <c r="P7" s="14">
        <f>P6/BNP!AI4</f>
        <v>20700.949057730108</v>
      </c>
      <c r="Q7" s="14">
        <f>Q6/BNP!AJ4</f>
        <v>45898.754799480324</v>
      </c>
      <c r="R7" s="14">
        <f>R6/BNP!AK4</f>
        <v>37727.25131492386</v>
      </c>
      <c r="S7" s="14">
        <f>S6/BNP!AL4</f>
        <v>50791.98771947449</v>
      </c>
      <c r="T7" s="14">
        <f>T6/BNP!AM4</f>
        <v>45655.14661641913</v>
      </c>
      <c r="U7" s="14">
        <f>U6/BNP!AN4</f>
        <v>70009</v>
      </c>
      <c r="V7" s="14">
        <f>V6/BNP!AO4</f>
        <v>47627.11619441805</v>
      </c>
      <c r="W7" s="14">
        <f>W6/BNP!AP4</f>
        <v>22312.6841501313</v>
      </c>
      <c r="X7" s="14">
        <f>X6/BNP!AQ4</f>
        <v>42774.452302683974</v>
      </c>
      <c r="Y7" s="14">
        <f>Y6/BNP!AR4</f>
        <v>53431.25039497729</v>
      </c>
    </row>
  </sheetData>
  <hyperlinks>
    <hyperlink ref="A2" location="'Ægte opsparing'!A1" display="Retur til forsiden"/>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 Økonomiske Råd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Poul Schou</dc:creator>
  <cp:keywords/>
  <dc:description/>
  <cp:lastModifiedBy>Charlotte Enager</cp:lastModifiedBy>
  <dcterms:created xsi:type="dcterms:W3CDTF">2012-02-08T12:08:56Z</dcterms:created>
  <dcterms:modified xsi:type="dcterms:W3CDTF">2012-02-27T15:02:41Z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